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740" activeTab="1"/>
  </bookViews>
  <sheets>
    <sheet name="Раздел 1" sheetId="1" r:id="rId1"/>
    <sheet name="Раздел 2" sheetId="2" r:id="rId2"/>
    <sheet name="Раздел 3,4" sheetId="3" r:id="rId3"/>
  </sheets>
  <definedNames>
    <definedName name="_xlnm.Print_Area" localSheetId="0">'Раздел 1'!$A$1:$U$65</definedName>
  </definedNames>
  <calcPr fullCalcOnLoad="1" refMode="R1C1"/>
</workbook>
</file>

<file path=xl/sharedStrings.xml><?xml version="1.0" encoding="utf-8"?>
<sst xmlns="http://schemas.openxmlformats.org/spreadsheetml/2006/main" count="615" uniqueCount="220">
  <si>
    <t>№№</t>
  </si>
  <si>
    <t>Код строки</t>
  </si>
  <si>
    <t>Наименование объекта</t>
  </si>
  <si>
    <t xml:space="preserve">Остаток стоимости на начало года * </t>
  </si>
  <si>
    <t>Освоено (закрыто актами выполненных работ), млн.рублей</t>
  </si>
  <si>
    <t>Введено оформлено актами ввода в эксплуатацию), млн.рублей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</si>
  <si>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</si>
  <si>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</si>
  <si>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</si>
  <si>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млн.рублей</t>
  </si>
  <si>
    <t>%</t>
  </si>
  <si>
    <t>в том числе за счет</t>
  </si>
  <si>
    <t>план**</t>
  </si>
  <si>
    <t>факт***</t>
  </si>
  <si>
    <t>уточнения стоимости по результатам утвержденной ПСД</t>
  </si>
  <si>
    <t>уточнения стоимости по результатм закупочных процедур</t>
  </si>
  <si>
    <t>Гр 1</t>
  </si>
  <si>
    <t>Гр 2</t>
  </si>
  <si>
    <t>Гр 3</t>
  </si>
  <si>
    <t>Гр 4</t>
  </si>
  <si>
    <t>Гр 5</t>
  </si>
  <si>
    <t>Гр 6</t>
  </si>
  <si>
    <t>Гр 7</t>
  </si>
  <si>
    <t>Гр 8</t>
  </si>
  <si>
    <t>Гр 9</t>
  </si>
  <si>
    <t>Гр 10</t>
  </si>
  <si>
    <t>Гр 11</t>
  </si>
  <si>
    <t>ВСЕГО</t>
  </si>
  <si>
    <t>1.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</si>
  <si>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</si>
  <si>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</si>
  <si>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</si>
  <si>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1.1.1</t>
  </si>
  <si>
    <t>Реконструкция ПС Бекетово 500кВ</t>
  </si>
  <si>
    <t>1.1.2</t>
  </si>
  <si>
    <t>Реконструкция ПС Буйская 500кВ</t>
  </si>
  <si>
    <t>1.1.3</t>
  </si>
  <si>
    <t>Реконструкция ПС НПЗ 220кВ</t>
  </si>
  <si>
    <t>1.1.4</t>
  </si>
  <si>
    <t>Реконструкция ПС Уфа-Южная 220кВ</t>
  </si>
  <si>
    <t>1.1.5</t>
  </si>
  <si>
    <t>Реконструкция ПС Белорецк 220кВ</t>
  </si>
  <si>
    <t>1.1.6</t>
  </si>
  <si>
    <t>Реконсрукция ПС Туймазы 220кВ</t>
  </si>
  <si>
    <t>1.1.7</t>
  </si>
  <si>
    <t>Реконструкция ПС Аксаково 220кВ</t>
  </si>
  <si>
    <t>1.1.8</t>
  </si>
  <si>
    <t>Реконструкция ПС Ашкадар 220кВ</t>
  </si>
  <si>
    <t>1.1.9</t>
  </si>
  <si>
    <t>Реконструкция ПС Самаровка 220кВ</t>
  </si>
  <si>
    <t>1.1.10</t>
  </si>
  <si>
    <t>Реконструкция ПС Благовар 220кВ</t>
  </si>
  <si>
    <t>1.1.11</t>
  </si>
  <si>
    <t>Реконструкция ПС Аргамак 220кВ</t>
  </si>
  <si>
    <t>1.1.12</t>
  </si>
  <si>
    <t>Реконструкция ВЛ 220кВ Бекетово-НПЗ с изменением трассы</t>
  </si>
  <si>
    <t>1.1.13</t>
  </si>
  <si>
    <t>Реконструкция ПС Уфимская 500кВ</t>
  </si>
  <si>
    <t>1.1.14</t>
  </si>
  <si>
    <t>Берегоукрепление по ВЛ 500кВ Бекетово-Уфимская (переход через р. Белая)</t>
  </si>
  <si>
    <t>1.1.15</t>
  </si>
  <si>
    <t>Реконструкция ПС Иремель</t>
  </si>
  <si>
    <t>1.1.16</t>
  </si>
  <si>
    <t xml:space="preserve">Реконструкция ВЛ 220кВ Смеловская-Иремель </t>
  </si>
  <si>
    <t>1.2.</t>
  </si>
  <si>
    <t>Создание систем противоаварийной и режимной автоматики</t>
  </si>
  <si>
    <t>1.2.1</t>
  </si>
  <si>
    <t>ПС Бекетово  реконструкция устройств РЗиА</t>
  </si>
  <si>
    <t>1.2.2</t>
  </si>
  <si>
    <t>ПС Буйская  реконструкция устройств РЗиА</t>
  </si>
  <si>
    <t>1.2.3</t>
  </si>
  <si>
    <t>ПС "Уфимская" реконструкция устройств РЗиА</t>
  </si>
  <si>
    <t>1.2.4</t>
  </si>
  <si>
    <t>ПС "Благовар" реконструкция устройств РЗиА</t>
  </si>
  <si>
    <t>1.2.5</t>
  </si>
  <si>
    <t>ПС "НПЗ" реконструкция устройств РЗиА</t>
  </si>
  <si>
    <t>1.2.6</t>
  </si>
  <si>
    <t>ПС "Аргамак" реконструкция устройств РЗиА</t>
  </si>
  <si>
    <t>1.2.7</t>
  </si>
  <si>
    <t>ПС "Белорецк" реконструкция устройств РЗиА</t>
  </si>
  <si>
    <t>1.2.8</t>
  </si>
  <si>
    <t>ПС "Туймазы" реконструкция устройств РЗиА</t>
  </si>
  <si>
    <t>1.2.9</t>
  </si>
  <si>
    <t>ПС "Ашкадар" реконструкция устройств РЗиА</t>
  </si>
  <si>
    <t>1.2.10</t>
  </si>
  <si>
    <t>ПС "Аксаково" реконструкция устройств РЗиА</t>
  </si>
  <si>
    <t>1.2.11</t>
  </si>
  <si>
    <t>ПС "Самаровка" реконструкция устройств РЗиА</t>
  </si>
  <si>
    <t>1.3.</t>
  </si>
  <si>
    <t xml:space="preserve">Создание систем телемеханики  и связи </t>
  </si>
  <si>
    <t>1.3.1</t>
  </si>
  <si>
    <t>Создание систем телемеханики и связи ПС Белорецк, ПС Иремель</t>
  </si>
  <si>
    <t>1.4.</t>
  </si>
  <si>
    <t>Установка устройств регулирования напряжения и компенсации реактивной мощности</t>
  </si>
  <si>
    <t>1.5.</t>
  </si>
  <si>
    <t>Прочие направления</t>
  </si>
  <si>
    <t>1.5.1</t>
  </si>
  <si>
    <t>Приобретение оборудования не требующего монтажа</t>
  </si>
  <si>
    <t>1.5.2</t>
  </si>
  <si>
    <t>Реконструкция ПС по требованиям антитеррор безопасности</t>
  </si>
  <si>
    <t>1.5.3</t>
  </si>
  <si>
    <t xml:space="preserve">Пополнение аварийного запаса </t>
  </si>
  <si>
    <t>1.5.4</t>
  </si>
  <si>
    <t>Комплексное обследование зданий и сооружений ПС ООО "БСК" с устранением замечаний и восстонавлением работоспособности</t>
  </si>
  <si>
    <t>1.5.5</t>
  </si>
  <si>
    <t>Монтаж пожарной сигнализации и реконструкции автоматического пожаротушения</t>
  </si>
  <si>
    <t>1.5.6</t>
  </si>
  <si>
    <t>Реконструкция освещения и заземляющих устройств</t>
  </si>
  <si>
    <t>1.5.7</t>
  </si>
  <si>
    <t>Система контроля автотранспортных средств ГЛОНАСС</t>
  </si>
  <si>
    <t>2.</t>
  </si>
  <si>
    <t>Новое строительство</t>
  </si>
  <si>
    <t>2.1.</t>
  </si>
  <si>
    <t>2.1.1</t>
  </si>
  <si>
    <t>Строительство ПС "Центр" с заходами ВКЛ-220кВ "Уфимская-Уфа-Южная"</t>
  </si>
  <si>
    <t>2.1.2</t>
  </si>
  <si>
    <t>Ввод крыла на ПС "Дема" с ВКЛ от ВЛ-220 "Бекетово-НПЗ"</t>
  </si>
  <si>
    <t>2.2.</t>
  </si>
  <si>
    <t>Прочее новое строительство</t>
  </si>
  <si>
    <t>2.2.1</t>
  </si>
  <si>
    <t>Расширение ПС 220/110/10кВ Затон. Строительство подъездной автодороги к ПС.</t>
  </si>
  <si>
    <t>2.2.2</t>
  </si>
  <si>
    <t>в том числе ПТП</t>
  </si>
  <si>
    <t>2.2.3</t>
  </si>
  <si>
    <t>Строительство административно-лабораторного корпуса по ул. Цветочная 3/2 (2 очередь)</t>
  </si>
  <si>
    <t>2.2.4</t>
  </si>
  <si>
    <t>Справочно</t>
  </si>
  <si>
    <t>3.0.</t>
  </si>
  <si>
    <t>Оплата процентов за привлеченные кредитные ресурсы</t>
  </si>
  <si>
    <t>Объем финансирования 2014год</t>
  </si>
  <si>
    <t>-</t>
  </si>
  <si>
    <t>информации об отчетах о реализации инвестиционных программ субъектов естественных монополий</t>
  </si>
  <si>
    <t>Форма 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</si>
  <si>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УТВЕРЖДЕНА</t>
  </si>
  <si>
    <t>Приказом Минэнерго России</t>
  </si>
  <si>
    <t>от 11.08.2011 № 347</t>
  </si>
  <si>
    <t>Раздел I. Отчет об исполнении инвестиционной программы ООО "Башкирэнерго" за 2014 г., млн. рублей с НДС</t>
  </si>
  <si>
    <t>Раздел I. Отчет об исполнении инвестиционной программы ООО "БСК" за 2014 г., млн. рублей с НДС</t>
  </si>
  <si>
    <t>№ №</t>
  </si>
  <si>
    <t>Наименование центра питания</t>
  </si>
  <si>
    <t>Месторасположение центра питания:
субъект Российской Федерации, район, ближайший населенный пункт</t>
  </si>
  <si>
    <t>Установленная мощность центра питания</t>
  </si>
  <si>
    <t>МВА</t>
  </si>
  <si>
    <t>дата</t>
  </si>
  <si>
    <t>кВт</t>
  </si>
  <si>
    <t>кВт∙ч/год</t>
  </si>
  <si>
    <t>ВСЕГО,</t>
  </si>
  <si>
    <t>Наименование проекта</t>
  </si>
  <si>
    <t>Ввод мощностей (подтверждаемый актами ввода в эксплуатацию)</t>
  </si>
  <si>
    <t>км/МВА/другое</t>
  </si>
  <si>
    <t>млн. руб.</t>
  </si>
  <si>
    <t>I кв.</t>
  </si>
  <si>
    <t>II кв.</t>
  </si>
  <si>
    <t>III кв.</t>
  </si>
  <si>
    <t>IV кв.</t>
  </si>
  <si>
    <t>Раздел IV. Очет о вводах объектов</t>
  </si>
  <si>
    <t>план 2014г.</t>
  </si>
  <si>
    <t>план 2015г.</t>
  </si>
  <si>
    <t>план 2016г.</t>
  </si>
  <si>
    <t>Раздел III. Отчет о расширении пропускной способности, снижения потерь в сетях и увеличения резерва для присоединения новых потребителей центров питания 35 кВ и выше</t>
  </si>
  <si>
    <t>Фактический резерв мощности для присоединения новых потребителей</t>
  </si>
  <si>
    <t>Фактическое расширение пропускной способности</t>
  </si>
  <si>
    <t>Фактическое снижение потерь, кВт∙ч/год</t>
  </si>
  <si>
    <t>факт 2013г.</t>
  </si>
  <si>
    <t>факт 2014г.</t>
  </si>
  <si>
    <t>факт2014г.</t>
  </si>
  <si>
    <t xml:space="preserve">факт 2014г. </t>
  </si>
  <si>
    <t>Наименование объекта *</t>
  </si>
  <si>
    <t>ПИР</t>
  </si>
  <si>
    <t>СМР</t>
  </si>
  <si>
    <t>Плановый объем финансирования, млн. руб.**</t>
  </si>
  <si>
    <t>Фактически профинансировано, млн. руб.</t>
  </si>
  <si>
    <t>Отклонение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</si>
  <si>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</si>
  <si>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</si>
  <si>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</si>
  <si>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</si>
  <si>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</si>
  <si>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 
объекты</t>
  </si>
  <si>
    <t>Всего</t>
  </si>
  <si>
    <t>Оборудование и материалы</t>
  </si>
  <si>
    <t>Прочие</t>
  </si>
  <si>
    <t>Год ввода в эксплуатацию</t>
  </si>
  <si>
    <t>Нормативный 
срок службы, 
лет</t>
  </si>
  <si>
    <t>Мощность, МВт</t>
  </si>
  <si>
    <t>Тепловая энергия, 
Гкал/час</t>
  </si>
  <si>
    <t>Нормативный срок службы, лет</t>
  </si>
  <si>
    <t>Количество силовых трансформаторов, шт</t>
  </si>
  <si>
    <t>Марка силовых трансформаторов</t>
  </si>
  <si>
    <t>Мощность, МВА</t>
  </si>
  <si>
    <t>Тип опор</t>
  </si>
  <si>
    <t>Марка кабеля</t>
  </si>
  <si>
    <t>Протяженность, км</t>
  </si>
  <si>
    <t>Гр 12</t>
  </si>
  <si>
    <t>Гр 13</t>
  </si>
  <si>
    <t>Гр 14</t>
  </si>
  <si>
    <t>Гр 15</t>
  </si>
  <si>
    <t>Гр 16</t>
  </si>
  <si>
    <t>Гр 17</t>
  </si>
  <si>
    <t>Гр 18</t>
  </si>
  <si>
    <t>Гр 19</t>
  </si>
  <si>
    <t>Гр 20</t>
  </si>
  <si>
    <t>Гр 21</t>
  </si>
  <si>
    <t>Гр 22</t>
  </si>
  <si>
    <t>Гр 23</t>
  </si>
  <si>
    <t>Гр 24</t>
  </si>
  <si>
    <t>Гр 25</t>
  </si>
  <si>
    <t>Гр 26</t>
  </si>
  <si>
    <t>Гр 27</t>
  </si>
  <si>
    <t>Гр 28</t>
  </si>
  <si>
    <t>Гр 29</t>
  </si>
  <si>
    <t>Гр 30</t>
  </si>
  <si>
    <t>Гр 31</t>
  </si>
  <si>
    <t>Гр 32</t>
  </si>
  <si>
    <t>Гр 33</t>
  </si>
  <si>
    <t>Гр 34</t>
  </si>
  <si>
    <t>Гр 35</t>
  </si>
  <si>
    <t>Гр 36</t>
  </si>
  <si>
    <t/>
  </si>
  <si>
    <t>Снижение потерь в результате реализации****, КВт*ч/год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</si>
</sst>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41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43"/>
      <name val="Times New Roman"/>
      <family val="1"/>
    </font>
    <font>
      <b/>
      <i/>
      <sz val="14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0" fontId="2" fillId="34" borderId="0" xfId="0" applyFont="1" applyFill="1" applyAlignment="1" applyProtection="1">
      <alignment/>
      <protection/>
    </xf>
    <xf numFmtId="0" fontId="56" fillId="34" borderId="0" xfId="0" applyFont="1" applyFill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 horizontal="right" vertical="top"/>
    </xf>
    <xf numFmtId="0" fontId="57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2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  <xf numFmtId="49" fontId="22" fillId="0" borderId="16" xfId="0" applyNumberFormat="1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165" fontId="4" fillId="0" borderId="15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165" fontId="8" fillId="0" borderId="17" xfId="0" applyNumberFormat="1" applyFont="1" applyFill="1" applyBorder="1" applyAlignment="1" applyProtection="1">
      <alignment horizontal="center" vertical="center" wrapText="1"/>
      <protection/>
    </xf>
    <xf numFmtId="165" fontId="8" fillId="0" borderId="17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 applyProtection="1">
      <alignment vertical="center" wrapText="1"/>
      <protection locked="0"/>
    </xf>
    <xf numFmtId="49" fontId="22" fillId="0" borderId="18" xfId="0" applyNumberFormat="1" applyFont="1" applyFill="1" applyBorder="1" applyAlignment="1" applyProtection="1">
      <alignment vertical="center" wrapText="1"/>
      <protection locked="0"/>
    </xf>
    <xf numFmtId="0" fontId="15" fillId="8" borderId="0" xfId="0" applyFont="1" applyFill="1" applyAlignment="1">
      <alignment/>
    </xf>
    <xf numFmtId="0" fontId="0" fillId="8" borderId="0" xfId="0" applyFill="1" applyAlignment="1">
      <alignment/>
    </xf>
    <xf numFmtId="0" fontId="56" fillId="8" borderId="0" xfId="0" applyFont="1" applyFill="1" applyAlignment="1">
      <alignment/>
    </xf>
    <xf numFmtId="0" fontId="57" fillId="8" borderId="0" xfId="0" applyFont="1" applyFill="1" applyAlignment="1">
      <alignment/>
    </xf>
    <xf numFmtId="0" fontId="0" fillId="35" borderId="0" xfId="0" applyFill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/>
      <protection/>
    </xf>
    <xf numFmtId="49" fontId="13" fillId="0" borderId="0" xfId="0" applyNumberFormat="1" applyFont="1" applyAlignment="1" applyProtection="1">
      <alignment horizontal="center" vertical="top"/>
      <protection/>
    </xf>
    <xf numFmtId="49" fontId="13" fillId="0" borderId="0" xfId="0" applyNumberFormat="1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0" fontId="18" fillId="0" borderId="34" xfId="0" applyFont="1" applyBorder="1" applyAlignment="1">
      <alignment horizontal="left" wrapText="1"/>
    </xf>
    <xf numFmtId="0" fontId="18" fillId="0" borderId="35" xfId="0" applyFont="1" applyBorder="1" applyAlignment="1">
      <alignment horizontal="left" wrapText="1"/>
    </xf>
    <xf numFmtId="0" fontId="18" fillId="0" borderId="36" xfId="0" applyFont="1" applyBorder="1" applyAlignment="1">
      <alignment horizontal="left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showGridLines="0" view="pageBreakPreview" zoomScale="70" zoomScaleSheetLayoutView="70" zoomScalePageLayoutView="0" workbookViewId="0" topLeftCell="E1">
      <selection activeCell="I60" sqref="I60"/>
    </sheetView>
  </sheetViews>
  <sheetFormatPr defaultColWidth="9.140625" defaultRowHeight="15"/>
  <cols>
    <col min="1" max="4" width="0" style="10" hidden="1" customWidth="1"/>
    <col min="5" max="6" width="13.7109375" style="10" customWidth="1"/>
    <col min="7" max="7" width="40.7109375" style="10" customWidth="1"/>
    <col min="8" max="8" width="23.7109375" style="10" customWidth="1"/>
    <col min="9" max="9" width="22.7109375" style="10" customWidth="1"/>
    <col min="10" max="10" width="20.7109375" style="10" customWidth="1"/>
    <col min="11" max="11" width="33.7109375" style="10" hidden="1" customWidth="1"/>
    <col min="12" max="12" width="33.7109375" style="10" customWidth="1"/>
    <col min="13" max="13" width="33.7109375" style="10" hidden="1" customWidth="1"/>
    <col min="14" max="14" width="33.7109375" style="10" customWidth="1"/>
    <col min="15" max="15" width="23.7109375" style="10" customWidth="1"/>
    <col min="16" max="16" width="18.7109375" style="10" customWidth="1"/>
    <col min="17" max="17" width="13.7109375" style="10" customWidth="1"/>
    <col min="18" max="18" width="13.7109375" style="10" hidden="1" customWidth="1"/>
    <col min="19" max="20" width="27.7109375" style="10" customWidth="1"/>
    <col min="21" max="21" width="28.421875" style="10" customWidth="1"/>
    <col min="22" max="22" width="1.7109375" style="10" customWidth="1"/>
    <col min="23" max="16384" width="9.140625" style="10" customWidth="1"/>
  </cols>
  <sheetData>
    <row r="1" spans="20:21" ht="15">
      <c r="T1" s="109" t="s">
        <v>133</v>
      </c>
      <c r="U1" s="109"/>
    </row>
    <row r="2" spans="20:21" ht="15">
      <c r="T2" s="109" t="s">
        <v>134</v>
      </c>
      <c r="U2" s="109"/>
    </row>
    <row r="3" spans="20:21" ht="15">
      <c r="T3" s="109" t="s">
        <v>135</v>
      </c>
      <c r="U3" s="109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/>
      <c r="Q4" s="1"/>
      <c r="R4" s="1"/>
      <c r="S4" s="1"/>
      <c r="T4" s="1"/>
      <c r="U4" s="9"/>
      <c r="V4" s="1"/>
      <c r="W4" s="9"/>
    </row>
    <row r="5" spans="1:23" s="15" customFormat="1" ht="20.25">
      <c r="A5" s="13"/>
      <c r="B5" s="13"/>
      <c r="C5" s="13"/>
      <c r="D5" s="13"/>
      <c r="E5" s="107" t="s">
        <v>132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4"/>
      <c r="V5" s="13"/>
      <c r="W5" s="14"/>
    </row>
    <row r="6" spans="1:23" s="15" customFormat="1" ht="20.25">
      <c r="A6" s="13"/>
      <c r="B6" s="13"/>
      <c r="C6" s="13"/>
      <c r="D6" s="13"/>
      <c r="E6" s="108" t="s">
        <v>131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3"/>
      <c r="U6" s="16"/>
      <c r="V6" s="13"/>
      <c r="W6" s="16"/>
    </row>
    <row r="7" s="17" customFormat="1" ht="14.25">
      <c r="A7" s="17" t="s">
        <v>136</v>
      </c>
    </row>
    <row r="8" spans="1:21" s="17" customFormat="1" ht="14.25">
      <c r="A8" s="17" t="s">
        <v>136</v>
      </c>
      <c r="E8" s="35" t="s">
        <v>137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2" ht="15.75" customHeight="1">
      <c r="A9" s="3"/>
      <c r="B9" s="3"/>
      <c r="C9" s="3"/>
      <c r="D9" s="3"/>
      <c r="E9" s="105" t="s">
        <v>0</v>
      </c>
      <c r="F9" s="105" t="s">
        <v>1</v>
      </c>
      <c r="G9" s="105" t="s">
        <v>2</v>
      </c>
      <c r="H9" s="105" t="s">
        <v>3</v>
      </c>
      <c r="I9" s="105" t="s">
        <v>129</v>
      </c>
      <c r="J9" s="105"/>
      <c r="K9" s="105" t="s">
        <v>4</v>
      </c>
      <c r="L9" s="105" t="s">
        <v>4</v>
      </c>
      <c r="M9" s="105" t="s">
        <v>5</v>
      </c>
      <c r="N9" s="105" t="s">
        <v>5</v>
      </c>
      <c r="O9" s="105" t="s">
        <v>6</v>
      </c>
      <c r="P9" s="105" t="s">
        <v>7</v>
      </c>
      <c r="Q9" s="105"/>
      <c r="R9" s="105"/>
      <c r="S9" s="105"/>
      <c r="T9" s="105"/>
      <c r="U9" s="105" t="s">
        <v>8</v>
      </c>
      <c r="V9" s="3"/>
    </row>
    <row r="10" spans="1:22" ht="15.75">
      <c r="A10" s="3"/>
      <c r="B10" s="3"/>
      <c r="C10" s="3"/>
      <c r="D10" s="3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 t="s">
        <v>9</v>
      </c>
      <c r="Q10" s="105" t="s">
        <v>10</v>
      </c>
      <c r="R10" s="105" t="s">
        <v>10</v>
      </c>
      <c r="S10" s="105" t="s">
        <v>11</v>
      </c>
      <c r="T10" s="105"/>
      <c r="U10" s="106"/>
      <c r="V10" s="3"/>
    </row>
    <row r="11" spans="1:22" ht="47.25">
      <c r="A11" s="3"/>
      <c r="B11" s="3"/>
      <c r="C11" s="3"/>
      <c r="D11" s="3"/>
      <c r="E11" s="105"/>
      <c r="F11" s="105"/>
      <c r="G11" s="105"/>
      <c r="H11" s="105"/>
      <c r="I11" s="36" t="s">
        <v>12</v>
      </c>
      <c r="J11" s="36" t="s">
        <v>13</v>
      </c>
      <c r="K11" s="105"/>
      <c r="L11" s="105"/>
      <c r="M11" s="105"/>
      <c r="N11" s="105"/>
      <c r="O11" s="105"/>
      <c r="P11" s="105"/>
      <c r="Q11" s="105"/>
      <c r="R11" s="105"/>
      <c r="S11" s="36" t="s">
        <v>14</v>
      </c>
      <c r="T11" s="36" t="s">
        <v>15</v>
      </c>
      <c r="U11" s="106"/>
      <c r="V11" s="3"/>
    </row>
    <row r="12" spans="1:22" ht="18.75">
      <c r="A12" s="3"/>
      <c r="B12" s="3"/>
      <c r="C12" s="3"/>
      <c r="D12" s="3"/>
      <c r="E12" s="36"/>
      <c r="F12" s="36"/>
      <c r="G12" s="36"/>
      <c r="H12" s="37" t="s">
        <v>16</v>
      </c>
      <c r="I12" s="37" t="s">
        <v>17</v>
      </c>
      <c r="J12" s="37" t="s">
        <v>18</v>
      </c>
      <c r="K12" s="37" t="s">
        <v>19</v>
      </c>
      <c r="L12" s="37" t="s">
        <v>19</v>
      </c>
      <c r="M12" s="37" t="s">
        <v>20</v>
      </c>
      <c r="N12" s="37" t="s">
        <v>20</v>
      </c>
      <c r="O12" s="37" t="s">
        <v>21</v>
      </c>
      <c r="P12" s="37" t="s">
        <v>22</v>
      </c>
      <c r="Q12" s="37" t="s">
        <v>23</v>
      </c>
      <c r="R12" s="37" t="s">
        <v>23</v>
      </c>
      <c r="S12" s="37" t="s">
        <v>24</v>
      </c>
      <c r="T12" s="37" t="s">
        <v>25</v>
      </c>
      <c r="U12" s="37" t="s">
        <v>26</v>
      </c>
      <c r="V12" s="3"/>
    </row>
    <row r="13" spans="1:22" ht="15.75">
      <c r="A13" s="3"/>
      <c r="B13" s="3"/>
      <c r="C13" s="3"/>
      <c r="D13" s="3"/>
      <c r="E13" s="36"/>
      <c r="F13" s="38">
        <v>999</v>
      </c>
      <c r="G13" s="39" t="s">
        <v>27</v>
      </c>
      <c r="H13" s="8">
        <f>H14+H55</f>
        <v>11.383000000000001</v>
      </c>
      <c r="I13" s="8">
        <f>I14+I60</f>
        <v>377.384</v>
      </c>
      <c r="J13" s="8">
        <f>388.082</f>
        <v>388.082</v>
      </c>
      <c r="K13" s="8">
        <v>338.399</v>
      </c>
      <c r="L13" s="8">
        <f>K13*1.18</f>
        <v>399.31082</v>
      </c>
      <c r="M13" s="8">
        <v>330.947</v>
      </c>
      <c r="N13" s="8">
        <f>M13*1.18</f>
        <v>390.51745999999997</v>
      </c>
      <c r="O13" s="8">
        <f>O14+O55</f>
        <v>19.594</v>
      </c>
      <c r="P13" s="8">
        <f>J13-I13</f>
        <v>10.697999999999979</v>
      </c>
      <c r="Q13" s="40">
        <f>J13/I13</f>
        <v>1.0283477836898225</v>
      </c>
      <c r="R13" s="40">
        <f aca="true" t="shared" si="0" ref="R13:R28">1-J13/I13</f>
        <v>-0.028347783689822492</v>
      </c>
      <c r="S13" s="8">
        <f>S14</f>
        <v>38.162000000000006</v>
      </c>
      <c r="T13" s="8">
        <f>T14</f>
        <v>-42.748000000000005</v>
      </c>
      <c r="U13" s="41"/>
      <c r="V13" s="3"/>
    </row>
    <row r="14" spans="1:22" ht="31.5">
      <c r="A14" s="3"/>
      <c r="B14" s="3"/>
      <c r="C14" s="3"/>
      <c r="D14" s="3"/>
      <c r="E14" s="42" t="s">
        <v>28</v>
      </c>
      <c r="F14" s="43">
        <v>1000</v>
      </c>
      <c r="G14" s="39" t="s">
        <v>29</v>
      </c>
      <c r="H14" s="8">
        <f>H15</f>
        <v>8.454</v>
      </c>
      <c r="I14" s="8">
        <f>I15+I32+I44+I47</f>
        <v>365.224</v>
      </c>
      <c r="J14" s="8">
        <f>388.082</f>
        <v>388.082</v>
      </c>
      <c r="K14" s="8">
        <v>338.162</v>
      </c>
      <c r="L14" s="8">
        <f aca="true" t="shared" si="1" ref="L14:L62">K14*1.18</f>
        <v>399.03115999999994</v>
      </c>
      <c r="M14" s="8">
        <v>330.71</v>
      </c>
      <c r="N14" s="8">
        <f aca="true" t="shared" si="2" ref="N14:N62">M14*1.18</f>
        <v>390.23779999999994</v>
      </c>
      <c r="O14" s="8">
        <f>O15</f>
        <v>7.334</v>
      </c>
      <c r="P14" s="8">
        <f aca="true" t="shared" si="3" ref="P14:P65">J14-I14</f>
        <v>22.858000000000004</v>
      </c>
      <c r="Q14" s="40">
        <f aca="true" t="shared" si="4" ref="Q14:Q55">J14/I14</f>
        <v>1.062586248439314</v>
      </c>
      <c r="R14" s="40">
        <f t="shared" si="0"/>
        <v>-0.06258624843931404</v>
      </c>
      <c r="S14" s="8">
        <f>S15+S32+S44+S46</f>
        <v>38.162000000000006</v>
      </c>
      <c r="T14" s="8">
        <f>T15+T32+T44+T46</f>
        <v>-42.748000000000005</v>
      </c>
      <c r="U14" s="44"/>
      <c r="V14" s="3"/>
    </row>
    <row r="15" spans="1:22" ht="31.5">
      <c r="A15" s="3"/>
      <c r="B15" s="3"/>
      <c r="C15" s="3"/>
      <c r="D15" s="3"/>
      <c r="E15" s="42" t="s">
        <v>30</v>
      </c>
      <c r="F15" s="43">
        <v>1100</v>
      </c>
      <c r="G15" s="45" t="s">
        <v>31</v>
      </c>
      <c r="H15" s="8">
        <f>H27</f>
        <v>8.454</v>
      </c>
      <c r="I15" s="8">
        <f>SUM(I16:I31)</f>
        <v>277.389</v>
      </c>
      <c r="J15" s="8">
        <f>253.675</f>
        <v>253.675</v>
      </c>
      <c r="K15" s="8">
        <v>225.594</v>
      </c>
      <c r="L15" s="8">
        <f t="shared" si="1"/>
        <v>266.20092</v>
      </c>
      <c r="M15" s="8">
        <v>222.53699999999998</v>
      </c>
      <c r="N15" s="8">
        <f t="shared" si="2"/>
        <v>262.59365999999994</v>
      </c>
      <c r="O15" s="8">
        <f>O27</f>
        <v>7.334</v>
      </c>
      <c r="P15" s="8">
        <f t="shared" si="3"/>
        <v>-23.714</v>
      </c>
      <c r="Q15" s="40">
        <f t="shared" si="4"/>
        <v>0.9145099481233935</v>
      </c>
      <c r="R15" s="40">
        <f t="shared" si="0"/>
        <v>0.08549005187660652</v>
      </c>
      <c r="S15" s="8">
        <f>SUM(S16:S31)</f>
        <v>8.309000000000001</v>
      </c>
      <c r="T15" s="8">
        <f>SUM(T16:T31)</f>
        <v>-33.492000000000004</v>
      </c>
      <c r="U15" s="44"/>
      <c r="V15" s="3"/>
    </row>
    <row r="16" spans="1:22" ht="15.75">
      <c r="A16" s="4"/>
      <c r="B16" s="4"/>
      <c r="C16" s="4"/>
      <c r="D16" s="4"/>
      <c r="E16" s="46" t="s">
        <v>32</v>
      </c>
      <c r="F16" s="47">
        <v>110000001</v>
      </c>
      <c r="G16" s="48" t="s">
        <v>33</v>
      </c>
      <c r="H16" s="5">
        <v>0</v>
      </c>
      <c r="I16" s="5">
        <v>52.258</v>
      </c>
      <c r="J16" s="5">
        <f>43.766</f>
        <v>43.766</v>
      </c>
      <c r="K16" s="5">
        <v>42.359</v>
      </c>
      <c r="L16" s="6">
        <f t="shared" si="1"/>
        <v>49.98362</v>
      </c>
      <c r="M16" s="5">
        <v>42.359</v>
      </c>
      <c r="N16" s="6">
        <f t="shared" si="2"/>
        <v>49.98362</v>
      </c>
      <c r="O16" s="5">
        <v>0</v>
      </c>
      <c r="P16" s="8">
        <f t="shared" si="3"/>
        <v>-8.492000000000004</v>
      </c>
      <c r="Q16" s="40">
        <f t="shared" si="4"/>
        <v>0.8374985648130429</v>
      </c>
      <c r="R16" s="40">
        <f t="shared" si="0"/>
        <v>0.16250143518695714</v>
      </c>
      <c r="S16" s="5"/>
      <c r="T16" s="5">
        <f>P16</f>
        <v>-8.492000000000004</v>
      </c>
      <c r="U16" s="7"/>
      <c r="V16" s="4"/>
    </row>
    <row r="17" spans="1:22" ht="15.75">
      <c r="A17" s="4"/>
      <c r="B17" s="4"/>
      <c r="C17" s="4"/>
      <c r="D17" s="4"/>
      <c r="E17" s="46" t="s">
        <v>34</v>
      </c>
      <c r="F17" s="47">
        <v>110000002</v>
      </c>
      <c r="G17" s="48" t="s">
        <v>35</v>
      </c>
      <c r="H17" s="5">
        <v>0</v>
      </c>
      <c r="I17" s="5">
        <v>8.687</v>
      </c>
      <c r="J17" s="5">
        <v>12.754</v>
      </c>
      <c r="K17" s="5">
        <v>15.207</v>
      </c>
      <c r="L17" s="6">
        <f t="shared" si="1"/>
        <v>17.94426</v>
      </c>
      <c r="M17" s="5">
        <v>14.77</v>
      </c>
      <c r="N17" s="6">
        <f t="shared" si="2"/>
        <v>17.4286</v>
      </c>
      <c r="O17" s="5">
        <v>0</v>
      </c>
      <c r="P17" s="8">
        <f t="shared" si="3"/>
        <v>4.067</v>
      </c>
      <c r="Q17" s="40">
        <f t="shared" si="4"/>
        <v>1.468170829975826</v>
      </c>
      <c r="R17" s="40">
        <f t="shared" si="0"/>
        <v>-0.46817082997582604</v>
      </c>
      <c r="S17" s="5">
        <f>P17</f>
        <v>4.067</v>
      </c>
      <c r="T17" s="5"/>
      <c r="U17" s="7"/>
      <c r="V17" s="4"/>
    </row>
    <row r="18" spans="1:22" ht="15.75">
      <c r="A18" s="4"/>
      <c r="B18" s="4"/>
      <c r="C18" s="4"/>
      <c r="D18" s="4"/>
      <c r="E18" s="46" t="s">
        <v>36</v>
      </c>
      <c r="F18" s="47">
        <v>110000003</v>
      </c>
      <c r="G18" s="48" t="s">
        <v>37</v>
      </c>
      <c r="H18" s="5">
        <v>0</v>
      </c>
      <c r="I18" s="5">
        <v>42.539</v>
      </c>
      <c r="J18" s="5">
        <v>46.31</v>
      </c>
      <c r="K18" s="5">
        <v>30.791</v>
      </c>
      <c r="L18" s="6">
        <f t="shared" si="1"/>
        <v>36.33338</v>
      </c>
      <c r="M18" s="5">
        <v>30.791</v>
      </c>
      <c r="N18" s="6">
        <f t="shared" si="2"/>
        <v>36.33338</v>
      </c>
      <c r="O18" s="5">
        <v>0</v>
      </c>
      <c r="P18" s="8">
        <f t="shared" si="3"/>
        <v>3.771000000000001</v>
      </c>
      <c r="Q18" s="40">
        <f t="shared" si="4"/>
        <v>1.0886480641293872</v>
      </c>
      <c r="R18" s="40">
        <f t="shared" si="0"/>
        <v>-0.0886480641293872</v>
      </c>
      <c r="S18" s="5">
        <f>P18</f>
        <v>3.771000000000001</v>
      </c>
      <c r="T18" s="5"/>
      <c r="U18" s="7"/>
      <c r="V18" s="4"/>
    </row>
    <row r="19" spans="1:22" ht="15.75">
      <c r="A19" s="4"/>
      <c r="B19" s="4"/>
      <c r="C19" s="4"/>
      <c r="D19" s="4"/>
      <c r="E19" s="46" t="s">
        <v>38</v>
      </c>
      <c r="F19" s="47">
        <v>110000004</v>
      </c>
      <c r="G19" s="48" t="s">
        <v>39</v>
      </c>
      <c r="H19" s="5">
        <v>0</v>
      </c>
      <c r="I19" s="5">
        <v>18.061</v>
      </c>
      <c r="J19" s="5">
        <v>17.356</v>
      </c>
      <c r="K19" s="5">
        <v>12.738</v>
      </c>
      <c r="L19" s="6">
        <f t="shared" si="1"/>
        <v>15.03084</v>
      </c>
      <c r="M19" s="5">
        <v>11.228</v>
      </c>
      <c r="N19" s="6">
        <f t="shared" si="2"/>
        <v>13.249039999999999</v>
      </c>
      <c r="O19" s="5">
        <v>0</v>
      </c>
      <c r="P19" s="8">
        <f t="shared" si="3"/>
        <v>-0.7049999999999983</v>
      </c>
      <c r="Q19" s="40">
        <f t="shared" si="4"/>
        <v>0.9609656165217874</v>
      </c>
      <c r="R19" s="40">
        <f t="shared" si="0"/>
        <v>0.03903438347821264</v>
      </c>
      <c r="S19" s="5"/>
      <c r="T19" s="5">
        <f>P19</f>
        <v>-0.7049999999999983</v>
      </c>
      <c r="U19" s="7"/>
      <c r="V19" s="4"/>
    </row>
    <row r="20" spans="1:22" ht="15.75">
      <c r="A20" s="4"/>
      <c r="B20" s="4"/>
      <c r="C20" s="4"/>
      <c r="D20" s="4"/>
      <c r="E20" s="46" t="s">
        <v>40</v>
      </c>
      <c r="F20" s="47">
        <v>110000005</v>
      </c>
      <c r="G20" s="48" t="s">
        <v>41</v>
      </c>
      <c r="H20" s="5">
        <v>0</v>
      </c>
      <c r="I20" s="5">
        <v>42.533</v>
      </c>
      <c r="J20" s="5">
        <v>29.111</v>
      </c>
      <c r="K20" s="5">
        <v>29.838</v>
      </c>
      <c r="L20" s="6">
        <f t="shared" si="1"/>
        <v>35.20884</v>
      </c>
      <c r="M20" s="5">
        <v>30.471</v>
      </c>
      <c r="N20" s="6">
        <f t="shared" si="2"/>
        <v>35.95578</v>
      </c>
      <c r="O20" s="5">
        <v>0</v>
      </c>
      <c r="P20" s="8">
        <f t="shared" si="3"/>
        <v>-13.422</v>
      </c>
      <c r="Q20" s="40">
        <f t="shared" si="4"/>
        <v>0.6844332635835704</v>
      </c>
      <c r="R20" s="40">
        <f t="shared" si="0"/>
        <v>0.3155667364164296</v>
      </c>
      <c r="S20" s="5"/>
      <c r="T20" s="5">
        <f>P20</f>
        <v>-13.422</v>
      </c>
      <c r="U20" s="7"/>
      <c r="V20" s="4"/>
    </row>
    <row r="21" spans="1:22" ht="15.75">
      <c r="A21" s="4"/>
      <c r="B21" s="4"/>
      <c r="C21" s="4"/>
      <c r="D21" s="4"/>
      <c r="E21" s="46" t="s">
        <v>42</v>
      </c>
      <c r="F21" s="47">
        <v>110000006</v>
      </c>
      <c r="G21" s="48" t="s">
        <v>43</v>
      </c>
      <c r="H21" s="5">
        <v>0</v>
      </c>
      <c r="I21" s="5">
        <v>22.508</v>
      </c>
      <c r="J21" s="5">
        <v>18.768</v>
      </c>
      <c r="K21" s="5">
        <v>16.145</v>
      </c>
      <c r="L21" s="6">
        <f t="shared" si="1"/>
        <v>19.051099999999998</v>
      </c>
      <c r="M21" s="5">
        <v>16.145</v>
      </c>
      <c r="N21" s="6">
        <f t="shared" si="2"/>
        <v>19.051099999999998</v>
      </c>
      <c r="O21" s="5">
        <v>0</v>
      </c>
      <c r="P21" s="8">
        <f t="shared" si="3"/>
        <v>-3.7399999999999984</v>
      </c>
      <c r="Q21" s="40">
        <f t="shared" si="4"/>
        <v>0.8338368580060423</v>
      </c>
      <c r="R21" s="40">
        <f t="shared" si="0"/>
        <v>0.16616314199395765</v>
      </c>
      <c r="S21" s="5"/>
      <c r="T21" s="5">
        <f>P21</f>
        <v>-3.7399999999999984</v>
      </c>
      <c r="U21" s="7"/>
      <c r="V21" s="4"/>
    </row>
    <row r="22" spans="1:22" ht="15.75">
      <c r="A22" s="4"/>
      <c r="B22" s="4"/>
      <c r="C22" s="4"/>
      <c r="D22" s="4"/>
      <c r="E22" s="46" t="s">
        <v>44</v>
      </c>
      <c r="F22" s="47">
        <v>110000007</v>
      </c>
      <c r="G22" s="48" t="s">
        <v>45</v>
      </c>
      <c r="H22" s="5">
        <v>0</v>
      </c>
      <c r="I22" s="5">
        <v>22.1</v>
      </c>
      <c r="J22" s="5">
        <v>19.111</v>
      </c>
      <c r="K22" s="5">
        <v>15.752</v>
      </c>
      <c r="L22" s="6">
        <f t="shared" si="1"/>
        <v>18.58736</v>
      </c>
      <c r="M22" s="5">
        <v>18.672</v>
      </c>
      <c r="N22" s="6">
        <f t="shared" si="2"/>
        <v>22.03296</v>
      </c>
      <c r="O22" s="5">
        <v>0</v>
      </c>
      <c r="P22" s="8">
        <f t="shared" si="3"/>
        <v>-2.9890000000000008</v>
      </c>
      <c r="Q22" s="40">
        <f t="shared" si="4"/>
        <v>0.8647511312217194</v>
      </c>
      <c r="R22" s="40">
        <f t="shared" si="0"/>
        <v>0.13524886877828057</v>
      </c>
      <c r="S22" s="5"/>
      <c r="T22" s="5">
        <f>P22</f>
        <v>-2.9890000000000008</v>
      </c>
      <c r="U22" s="7"/>
      <c r="V22" s="4"/>
    </row>
    <row r="23" spans="1:22" ht="15.75">
      <c r="A23" s="4"/>
      <c r="B23" s="4"/>
      <c r="C23" s="4"/>
      <c r="D23" s="4"/>
      <c r="E23" s="46" t="s">
        <v>46</v>
      </c>
      <c r="F23" s="47">
        <v>110000008</v>
      </c>
      <c r="G23" s="48" t="s">
        <v>47</v>
      </c>
      <c r="H23" s="5">
        <v>0</v>
      </c>
      <c r="I23" s="5">
        <v>23.539</v>
      </c>
      <c r="J23" s="5">
        <v>18.788</v>
      </c>
      <c r="K23" s="5">
        <v>18.939</v>
      </c>
      <c r="L23" s="6">
        <f t="shared" si="1"/>
        <v>22.348019999999998</v>
      </c>
      <c r="M23" s="5">
        <v>18.939</v>
      </c>
      <c r="N23" s="6">
        <f t="shared" si="2"/>
        <v>22.348019999999998</v>
      </c>
      <c r="O23" s="5">
        <v>0</v>
      </c>
      <c r="P23" s="8">
        <f t="shared" si="3"/>
        <v>-4.751000000000001</v>
      </c>
      <c r="Q23" s="40">
        <f t="shared" si="4"/>
        <v>0.7981647478652448</v>
      </c>
      <c r="R23" s="40">
        <f t="shared" si="0"/>
        <v>0.20183525213475517</v>
      </c>
      <c r="S23" s="5"/>
      <c r="T23" s="5">
        <f>P23</f>
        <v>-4.751000000000001</v>
      </c>
      <c r="U23" s="7"/>
      <c r="V23" s="4"/>
    </row>
    <row r="24" spans="1:22" ht="15.75">
      <c r="A24" s="4"/>
      <c r="B24" s="4"/>
      <c r="C24" s="4"/>
      <c r="D24" s="4"/>
      <c r="E24" s="46" t="s">
        <v>48</v>
      </c>
      <c r="F24" s="47">
        <v>110000009</v>
      </c>
      <c r="G24" s="48" t="s">
        <v>49</v>
      </c>
      <c r="H24" s="5">
        <v>0</v>
      </c>
      <c r="I24" s="5">
        <v>7.735</v>
      </c>
      <c r="J24" s="5">
        <v>8.206</v>
      </c>
      <c r="K24" s="5">
        <v>7.006</v>
      </c>
      <c r="L24" s="6">
        <f t="shared" si="1"/>
        <v>8.26708</v>
      </c>
      <c r="M24" s="5">
        <v>7.006</v>
      </c>
      <c r="N24" s="6">
        <f t="shared" si="2"/>
        <v>8.26708</v>
      </c>
      <c r="O24" s="5">
        <v>0</v>
      </c>
      <c r="P24" s="8">
        <f t="shared" si="3"/>
        <v>0.4709999999999992</v>
      </c>
      <c r="Q24" s="40">
        <f t="shared" si="4"/>
        <v>1.060892049127343</v>
      </c>
      <c r="R24" s="40">
        <f t="shared" si="0"/>
        <v>-0.06089204912734303</v>
      </c>
      <c r="S24" s="5">
        <f>P24</f>
        <v>0.4709999999999992</v>
      </c>
      <c r="T24" s="5"/>
      <c r="U24" s="7"/>
      <c r="V24" s="4"/>
    </row>
    <row r="25" spans="1:22" ht="15.75">
      <c r="A25" s="4"/>
      <c r="B25" s="4"/>
      <c r="C25" s="4"/>
      <c r="D25" s="4"/>
      <c r="E25" s="46" t="s">
        <v>50</v>
      </c>
      <c r="F25" s="47">
        <v>110000010</v>
      </c>
      <c r="G25" s="48" t="s">
        <v>51</v>
      </c>
      <c r="H25" s="5">
        <v>0</v>
      </c>
      <c r="I25" s="5">
        <v>13.415</v>
      </c>
      <c r="J25" s="5">
        <v>8.851</v>
      </c>
      <c r="K25" s="5">
        <v>9.766</v>
      </c>
      <c r="L25" s="6">
        <f t="shared" si="1"/>
        <v>11.52388</v>
      </c>
      <c r="M25" s="5">
        <v>9.766</v>
      </c>
      <c r="N25" s="6">
        <f t="shared" si="2"/>
        <v>11.52388</v>
      </c>
      <c r="O25" s="5">
        <v>0</v>
      </c>
      <c r="P25" s="8">
        <f t="shared" si="3"/>
        <v>-4.563999999999998</v>
      </c>
      <c r="Q25" s="40">
        <f t="shared" si="4"/>
        <v>0.6597838240775252</v>
      </c>
      <c r="R25" s="40">
        <f t="shared" si="0"/>
        <v>0.3402161759224748</v>
      </c>
      <c r="S25" s="5"/>
      <c r="T25" s="5">
        <f>P25</f>
        <v>-4.563999999999998</v>
      </c>
      <c r="U25" s="7"/>
      <c r="V25" s="4"/>
    </row>
    <row r="26" spans="1:22" ht="15.75">
      <c r="A26" s="4"/>
      <c r="B26" s="4"/>
      <c r="C26" s="4"/>
      <c r="D26" s="4"/>
      <c r="E26" s="46" t="s">
        <v>52</v>
      </c>
      <c r="F26" s="47">
        <v>110000011</v>
      </c>
      <c r="G26" s="48" t="s">
        <v>53</v>
      </c>
      <c r="H26" s="5">
        <v>0</v>
      </c>
      <c r="I26" s="5">
        <v>15.56</v>
      </c>
      <c r="J26" s="5">
        <v>12.961</v>
      </c>
      <c r="K26" s="5">
        <v>11.969</v>
      </c>
      <c r="L26" s="6">
        <f t="shared" si="1"/>
        <v>14.12342</v>
      </c>
      <c r="M26" s="5">
        <v>11.969</v>
      </c>
      <c r="N26" s="6">
        <f t="shared" si="2"/>
        <v>14.12342</v>
      </c>
      <c r="O26" s="5">
        <v>0</v>
      </c>
      <c r="P26" s="8">
        <f t="shared" si="3"/>
        <v>-2.599</v>
      </c>
      <c r="Q26" s="40">
        <f t="shared" si="4"/>
        <v>0.8329691516709512</v>
      </c>
      <c r="R26" s="40">
        <f t="shared" si="0"/>
        <v>0.1670308483290488</v>
      </c>
      <c r="S26" s="5"/>
      <c r="T26" s="5">
        <f>P26</f>
        <v>-2.599</v>
      </c>
      <c r="U26" s="7"/>
      <c r="V26" s="4"/>
    </row>
    <row r="27" spans="1:22" ht="31.5">
      <c r="A27" s="4"/>
      <c r="B27" s="4"/>
      <c r="C27" s="4"/>
      <c r="D27" s="4"/>
      <c r="E27" s="46" t="s">
        <v>54</v>
      </c>
      <c r="F27" s="47">
        <v>110000012</v>
      </c>
      <c r="G27" s="48" t="s">
        <v>55</v>
      </c>
      <c r="H27" s="5">
        <v>8.454</v>
      </c>
      <c r="I27" s="5">
        <v>8.454</v>
      </c>
      <c r="J27" s="5"/>
      <c r="K27" s="5"/>
      <c r="L27" s="6">
        <f t="shared" si="1"/>
        <v>0</v>
      </c>
      <c r="M27" s="5"/>
      <c r="N27" s="6">
        <f t="shared" si="2"/>
        <v>0</v>
      </c>
      <c r="O27" s="5">
        <v>7.334</v>
      </c>
      <c r="P27" s="8">
        <f t="shared" si="3"/>
        <v>-8.454</v>
      </c>
      <c r="Q27" s="40" t="s">
        <v>130</v>
      </c>
      <c r="R27" s="40">
        <f t="shared" si="0"/>
        <v>1</v>
      </c>
      <c r="S27" s="5"/>
      <c r="T27" s="5"/>
      <c r="U27" s="7"/>
      <c r="V27" s="4"/>
    </row>
    <row r="28" spans="1:22" ht="15.75">
      <c r="A28" s="4"/>
      <c r="B28" s="4"/>
      <c r="C28" s="4"/>
      <c r="D28" s="4"/>
      <c r="E28" s="46" t="s">
        <v>56</v>
      </c>
      <c r="F28" s="47">
        <v>110000013</v>
      </c>
      <c r="G28" s="48" t="s">
        <v>57</v>
      </c>
      <c r="H28" s="5">
        <v>0</v>
      </c>
      <c r="I28" s="5"/>
      <c r="J28" s="5">
        <v>2.443</v>
      </c>
      <c r="K28" s="5">
        <v>2.105</v>
      </c>
      <c r="L28" s="6">
        <f t="shared" si="1"/>
        <v>2.4838999999999998</v>
      </c>
      <c r="M28" s="5">
        <v>2.105</v>
      </c>
      <c r="N28" s="6">
        <f t="shared" si="2"/>
        <v>2.4838999999999998</v>
      </c>
      <c r="O28" s="5">
        <v>0</v>
      </c>
      <c r="P28" s="8">
        <f t="shared" si="3"/>
        <v>2.443</v>
      </c>
      <c r="Q28" s="40" t="s">
        <v>130</v>
      </c>
      <c r="R28" s="40" t="e">
        <f t="shared" si="0"/>
        <v>#DIV/0!</v>
      </c>
      <c r="S28" s="5"/>
      <c r="T28" s="5"/>
      <c r="U28" s="7"/>
      <c r="V28" s="4"/>
    </row>
    <row r="29" spans="1:22" ht="47.25">
      <c r="A29" s="4"/>
      <c r="B29" s="4"/>
      <c r="C29" s="4"/>
      <c r="D29" s="4"/>
      <c r="E29" s="46" t="s">
        <v>58</v>
      </c>
      <c r="F29" s="47">
        <v>110000014</v>
      </c>
      <c r="G29" s="48" t="s">
        <v>59</v>
      </c>
      <c r="H29" s="5">
        <v>0</v>
      </c>
      <c r="I29" s="5"/>
      <c r="J29" s="5">
        <v>7.48</v>
      </c>
      <c r="K29" s="5">
        <v>6.364</v>
      </c>
      <c r="L29" s="6">
        <f t="shared" si="1"/>
        <v>7.509519999999999</v>
      </c>
      <c r="M29" s="5">
        <v>1.701</v>
      </c>
      <c r="N29" s="6">
        <f t="shared" si="2"/>
        <v>2.00718</v>
      </c>
      <c r="O29" s="5">
        <v>0</v>
      </c>
      <c r="P29" s="8">
        <f t="shared" si="3"/>
        <v>7.48</v>
      </c>
      <c r="Q29" s="40" t="s">
        <v>130</v>
      </c>
      <c r="R29" s="40"/>
      <c r="S29" s="5"/>
      <c r="T29" s="5"/>
      <c r="U29" s="7"/>
      <c r="V29" s="4"/>
    </row>
    <row r="30" spans="1:22" ht="15.75">
      <c r="A30" s="4"/>
      <c r="B30" s="4"/>
      <c r="C30" s="4"/>
      <c r="D30" s="4"/>
      <c r="E30" s="46" t="s">
        <v>60</v>
      </c>
      <c r="F30" s="47">
        <v>110000015</v>
      </c>
      <c r="G30" s="48" t="s">
        <v>61</v>
      </c>
      <c r="H30" s="5">
        <v>0</v>
      </c>
      <c r="I30" s="5"/>
      <c r="J30" s="5"/>
      <c r="K30" s="5"/>
      <c r="L30" s="6">
        <f t="shared" si="1"/>
        <v>0</v>
      </c>
      <c r="M30" s="5"/>
      <c r="N30" s="6">
        <f t="shared" si="2"/>
        <v>0</v>
      </c>
      <c r="O30" s="5">
        <v>0</v>
      </c>
      <c r="P30" s="8">
        <f t="shared" si="3"/>
        <v>0</v>
      </c>
      <c r="Q30" s="40" t="s">
        <v>130</v>
      </c>
      <c r="R30" s="40" t="e">
        <f>1-J30/I30</f>
        <v>#DIV/0!</v>
      </c>
      <c r="S30" s="5"/>
      <c r="T30" s="5"/>
      <c r="U30" s="7"/>
      <c r="V30" s="4"/>
    </row>
    <row r="31" spans="1:22" ht="31.5">
      <c r="A31" s="4"/>
      <c r="B31" s="4"/>
      <c r="C31" s="4"/>
      <c r="D31" s="4"/>
      <c r="E31" s="46" t="s">
        <v>62</v>
      </c>
      <c r="F31" s="47">
        <v>110000016</v>
      </c>
      <c r="G31" s="48" t="s">
        <v>63</v>
      </c>
      <c r="H31" s="5">
        <v>0</v>
      </c>
      <c r="I31" s="5"/>
      <c r="J31" s="5">
        <v>7.77</v>
      </c>
      <c r="K31" s="5">
        <v>6.615</v>
      </c>
      <c r="L31" s="6">
        <f t="shared" si="1"/>
        <v>7.8057</v>
      </c>
      <c r="M31" s="5">
        <v>6.615</v>
      </c>
      <c r="N31" s="6">
        <f t="shared" si="2"/>
        <v>7.8057</v>
      </c>
      <c r="O31" s="5">
        <v>0</v>
      </c>
      <c r="P31" s="8">
        <f t="shared" si="3"/>
        <v>7.77</v>
      </c>
      <c r="Q31" s="40" t="s">
        <v>130</v>
      </c>
      <c r="R31" s="40"/>
      <c r="S31" s="5"/>
      <c r="T31" s="5">
        <f>P31</f>
        <v>7.77</v>
      </c>
      <c r="U31" s="7"/>
      <c r="V31" s="4"/>
    </row>
    <row r="32" spans="1:22" ht="31.5">
      <c r="A32" s="3"/>
      <c r="B32" s="3"/>
      <c r="C32" s="3"/>
      <c r="D32" s="3"/>
      <c r="E32" s="42" t="s">
        <v>64</v>
      </c>
      <c r="F32" s="43">
        <v>1200</v>
      </c>
      <c r="G32" s="45" t="s">
        <v>65</v>
      </c>
      <c r="H32" s="8">
        <v>0</v>
      </c>
      <c r="I32" s="8">
        <f>SUM(I33:I43)</f>
        <v>53.562</v>
      </c>
      <c r="J32" s="8">
        <v>75.18600000000002</v>
      </c>
      <c r="K32" s="8">
        <v>65.30399999999999</v>
      </c>
      <c r="L32" s="8">
        <f t="shared" si="1"/>
        <v>77.05871999999998</v>
      </c>
      <c r="M32" s="8">
        <v>61.32999999999999</v>
      </c>
      <c r="N32" s="8">
        <f t="shared" si="2"/>
        <v>72.36939999999998</v>
      </c>
      <c r="O32" s="8">
        <v>0</v>
      </c>
      <c r="P32" s="8">
        <f t="shared" si="3"/>
        <v>21.624000000000024</v>
      </c>
      <c r="Q32" s="40">
        <f t="shared" si="4"/>
        <v>1.4037190545536018</v>
      </c>
      <c r="R32" s="40">
        <f>1-J32/I32</f>
        <v>-0.4037190545536018</v>
      </c>
      <c r="S32" s="8">
        <f>SUM(S33:S43)</f>
        <v>29.853</v>
      </c>
      <c r="T32" s="8">
        <f>SUM(T33:T43)</f>
        <v>-8.228999999999997</v>
      </c>
      <c r="U32" s="44"/>
      <c r="V32" s="3"/>
    </row>
    <row r="33" spans="1:22" ht="31.5">
      <c r="A33" s="4"/>
      <c r="B33" s="4"/>
      <c r="C33" s="4"/>
      <c r="D33" s="4"/>
      <c r="E33" s="46" t="s">
        <v>66</v>
      </c>
      <c r="F33" s="47">
        <v>120000001</v>
      </c>
      <c r="G33" s="48" t="s">
        <v>67</v>
      </c>
      <c r="H33" s="5">
        <v>0</v>
      </c>
      <c r="I33" s="5">
        <v>32.796</v>
      </c>
      <c r="J33" s="5">
        <v>40.63</v>
      </c>
      <c r="K33" s="5">
        <v>29.837</v>
      </c>
      <c r="L33" s="6">
        <f t="shared" si="1"/>
        <v>35.20766</v>
      </c>
      <c r="M33" s="5">
        <v>28.775</v>
      </c>
      <c r="N33" s="6">
        <f t="shared" si="2"/>
        <v>33.954499999999996</v>
      </c>
      <c r="O33" s="5">
        <v>0</v>
      </c>
      <c r="P33" s="8">
        <f t="shared" si="3"/>
        <v>7.834000000000003</v>
      </c>
      <c r="Q33" s="40">
        <f t="shared" si="4"/>
        <v>1.238870593974875</v>
      </c>
      <c r="R33" s="40"/>
      <c r="S33" s="5">
        <f>P33</f>
        <v>7.834000000000003</v>
      </c>
      <c r="T33" s="5"/>
      <c r="U33" s="7"/>
      <c r="V33" s="4"/>
    </row>
    <row r="34" spans="1:22" ht="31.5">
      <c r="A34" s="4"/>
      <c r="B34" s="4"/>
      <c r="C34" s="4"/>
      <c r="D34" s="4"/>
      <c r="E34" s="46" t="s">
        <v>68</v>
      </c>
      <c r="F34" s="47">
        <v>120000002</v>
      </c>
      <c r="G34" s="48" t="s">
        <v>69</v>
      </c>
      <c r="H34" s="5">
        <v>0</v>
      </c>
      <c r="I34" s="5">
        <v>16.929</v>
      </c>
      <c r="J34" s="5">
        <v>8.797</v>
      </c>
      <c r="K34" s="5">
        <v>10.057</v>
      </c>
      <c r="L34" s="6">
        <f t="shared" si="1"/>
        <v>11.86726</v>
      </c>
      <c r="M34" s="5">
        <v>13.281</v>
      </c>
      <c r="N34" s="6">
        <f t="shared" si="2"/>
        <v>15.67158</v>
      </c>
      <c r="O34" s="5">
        <v>0</v>
      </c>
      <c r="P34" s="8">
        <f t="shared" si="3"/>
        <v>-8.131999999999998</v>
      </c>
      <c r="Q34" s="40">
        <f t="shared" si="4"/>
        <v>0.5196408529741864</v>
      </c>
      <c r="R34" s="40">
        <f>1-J34/I34</f>
        <v>0.4803591470258136</v>
      </c>
      <c r="S34" s="5"/>
      <c r="T34" s="5">
        <f>P34</f>
        <v>-8.131999999999998</v>
      </c>
      <c r="U34" s="7"/>
      <c r="V34" s="4"/>
    </row>
    <row r="35" spans="1:22" ht="31.5">
      <c r="A35" s="4"/>
      <c r="B35" s="4"/>
      <c r="C35" s="4"/>
      <c r="D35" s="4"/>
      <c r="E35" s="46" t="s">
        <v>70</v>
      </c>
      <c r="F35" s="47">
        <v>120000003</v>
      </c>
      <c r="G35" s="48" t="s">
        <v>71</v>
      </c>
      <c r="H35" s="5">
        <v>0</v>
      </c>
      <c r="I35" s="5"/>
      <c r="J35" s="5">
        <v>1.768</v>
      </c>
      <c r="K35" s="5">
        <v>2.411</v>
      </c>
      <c r="L35" s="6">
        <f t="shared" si="1"/>
        <v>2.84498</v>
      </c>
      <c r="M35" s="5">
        <v>2.41</v>
      </c>
      <c r="N35" s="6">
        <f t="shared" si="2"/>
        <v>2.8438</v>
      </c>
      <c r="O35" s="5">
        <v>0</v>
      </c>
      <c r="P35" s="8">
        <f t="shared" si="3"/>
        <v>1.768</v>
      </c>
      <c r="Q35" s="40" t="s">
        <v>130</v>
      </c>
      <c r="R35" s="40"/>
      <c r="S35" s="5">
        <f>P35</f>
        <v>1.768</v>
      </c>
      <c r="T35" s="5"/>
      <c r="U35" s="7"/>
      <c r="V35" s="4"/>
    </row>
    <row r="36" spans="1:22" ht="31.5">
      <c r="A36" s="4"/>
      <c r="B36" s="4"/>
      <c r="C36" s="4"/>
      <c r="D36" s="4"/>
      <c r="E36" s="46" t="s">
        <v>72</v>
      </c>
      <c r="F36" s="47">
        <v>120000004</v>
      </c>
      <c r="G36" s="48" t="s">
        <v>73</v>
      </c>
      <c r="H36" s="5">
        <v>0</v>
      </c>
      <c r="I36" s="5">
        <v>1.215</v>
      </c>
      <c r="J36" s="5">
        <v>6.214</v>
      </c>
      <c r="K36" s="5">
        <v>5.51</v>
      </c>
      <c r="L36" s="6">
        <f t="shared" si="1"/>
        <v>6.501799999999999</v>
      </c>
      <c r="M36" s="5"/>
      <c r="N36" s="6">
        <f t="shared" si="2"/>
        <v>0</v>
      </c>
      <c r="O36" s="5">
        <v>0</v>
      </c>
      <c r="P36" s="8">
        <f t="shared" si="3"/>
        <v>4.9990000000000006</v>
      </c>
      <c r="Q36" s="40">
        <f t="shared" si="4"/>
        <v>5.11440329218107</v>
      </c>
      <c r="R36" s="40">
        <f aca="true" t="shared" si="5" ref="R36:R41">1-J36/I36</f>
        <v>-4.11440329218107</v>
      </c>
      <c r="S36" s="5">
        <f>P36</f>
        <v>4.9990000000000006</v>
      </c>
      <c r="T36" s="5"/>
      <c r="U36" s="7"/>
      <c r="V36" s="4"/>
    </row>
    <row r="37" spans="1:22" ht="31.5">
      <c r="A37" s="4"/>
      <c r="B37" s="4"/>
      <c r="C37" s="4"/>
      <c r="D37" s="4"/>
      <c r="E37" s="46" t="s">
        <v>74</v>
      </c>
      <c r="F37" s="47">
        <v>120000005</v>
      </c>
      <c r="G37" s="48" t="s">
        <v>75</v>
      </c>
      <c r="H37" s="5">
        <v>0</v>
      </c>
      <c r="I37" s="5">
        <v>2.227</v>
      </c>
      <c r="J37" s="5">
        <v>5.724</v>
      </c>
      <c r="K37" s="5">
        <v>3.845</v>
      </c>
      <c r="L37" s="6">
        <f t="shared" si="1"/>
        <v>4.5371</v>
      </c>
      <c r="M37" s="5">
        <v>0.171</v>
      </c>
      <c r="N37" s="6">
        <f t="shared" si="2"/>
        <v>0.20178000000000001</v>
      </c>
      <c r="O37" s="5">
        <v>0</v>
      </c>
      <c r="P37" s="8">
        <f t="shared" si="3"/>
        <v>3.4970000000000003</v>
      </c>
      <c r="Q37" s="40">
        <f t="shared" si="4"/>
        <v>2.5702739110911543</v>
      </c>
      <c r="R37" s="40">
        <f t="shared" si="5"/>
        <v>-1.5702739110911543</v>
      </c>
      <c r="S37" s="5">
        <f>P37</f>
        <v>3.4970000000000003</v>
      </c>
      <c r="T37" s="5"/>
      <c r="U37" s="7"/>
      <c r="V37" s="4"/>
    </row>
    <row r="38" spans="1:22" ht="31.5">
      <c r="A38" s="4"/>
      <c r="B38" s="4"/>
      <c r="C38" s="4"/>
      <c r="D38" s="4"/>
      <c r="E38" s="46" t="s">
        <v>76</v>
      </c>
      <c r="F38" s="47">
        <v>120000006</v>
      </c>
      <c r="G38" s="48" t="s">
        <v>77</v>
      </c>
      <c r="H38" s="5">
        <v>0</v>
      </c>
      <c r="I38" s="5"/>
      <c r="J38" s="5"/>
      <c r="K38" s="5"/>
      <c r="L38" s="6">
        <f t="shared" si="1"/>
        <v>0</v>
      </c>
      <c r="M38" s="5"/>
      <c r="N38" s="6">
        <f t="shared" si="2"/>
        <v>0</v>
      </c>
      <c r="O38" s="5">
        <v>0</v>
      </c>
      <c r="P38" s="8">
        <f t="shared" si="3"/>
        <v>0</v>
      </c>
      <c r="Q38" s="40" t="s">
        <v>130</v>
      </c>
      <c r="R38" s="40" t="e">
        <f t="shared" si="5"/>
        <v>#DIV/0!</v>
      </c>
      <c r="S38" s="5"/>
      <c r="T38" s="5"/>
      <c r="U38" s="7"/>
      <c r="V38" s="4"/>
    </row>
    <row r="39" spans="1:22" ht="31.5">
      <c r="A39" s="4"/>
      <c r="B39" s="4"/>
      <c r="C39" s="4"/>
      <c r="D39" s="4"/>
      <c r="E39" s="46" t="s">
        <v>78</v>
      </c>
      <c r="F39" s="47">
        <v>120000007</v>
      </c>
      <c r="G39" s="48" t="s">
        <v>79</v>
      </c>
      <c r="H39" s="5">
        <v>0</v>
      </c>
      <c r="I39" s="5"/>
      <c r="J39" s="5"/>
      <c r="K39" s="5">
        <v>0.806</v>
      </c>
      <c r="L39" s="6">
        <f t="shared" si="1"/>
        <v>0.95108</v>
      </c>
      <c r="M39" s="5"/>
      <c r="N39" s="6">
        <f t="shared" si="2"/>
        <v>0</v>
      </c>
      <c r="O39" s="5">
        <v>0</v>
      </c>
      <c r="P39" s="8">
        <f t="shared" si="3"/>
        <v>0</v>
      </c>
      <c r="Q39" s="40" t="s">
        <v>130</v>
      </c>
      <c r="R39" s="40" t="e">
        <f t="shared" si="5"/>
        <v>#DIV/0!</v>
      </c>
      <c r="S39" s="5"/>
      <c r="T39" s="5"/>
      <c r="U39" s="7"/>
      <c r="V39" s="4"/>
    </row>
    <row r="40" spans="1:22" ht="31.5">
      <c r="A40" s="4"/>
      <c r="B40" s="4"/>
      <c r="C40" s="4"/>
      <c r="D40" s="4"/>
      <c r="E40" s="46" t="s">
        <v>80</v>
      </c>
      <c r="F40" s="47">
        <v>120000008</v>
      </c>
      <c r="G40" s="48" t="s">
        <v>81</v>
      </c>
      <c r="H40" s="5">
        <v>0</v>
      </c>
      <c r="I40" s="5">
        <v>0.395</v>
      </c>
      <c r="J40" s="5">
        <v>0.298</v>
      </c>
      <c r="K40" s="5">
        <v>0.254</v>
      </c>
      <c r="L40" s="6">
        <f t="shared" si="1"/>
        <v>0.29972</v>
      </c>
      <c r="M40" s="5">
        <v>0.254</v>
      </c>
      <c r="N40" s="6">
        <f t="shared" si="2"/>
        <v>0.29972</v>
      </c>
      <c r="O40" s="5">
        <v>0</v>
      </c>
      <c r="P40" s="8">
        <f t="shared" si="3"/>
        <v>-0.09700000000000003</v>
      </c>
      <c r="Q40" s="40">
        <f t="shared" si="4"/>
        <v>0.7544303797468354</v>
      </c>
      <c r="R40" s="40">
        <f t="shared" si="5"/>
        <v>0.24556962025316464</v>
      </c>
      <c r="S40" s="5"/>
      <c r="T40" s="5">
        <f>P40</f>
        <v>-0.09700000000000003</v>
      </c>
      <c r="U40" s="7"/>
      <c r="V40" s="4"/>
    </row>
    <row r="41" spans="1:22" ht="31.5">
      <c r="A41" s="4"/>
      <c r="B41" s="4"/>
      <c r="C41" s="4"/>
      <c r="D41" s="4"/>
      <c r="E41" s="46" t="s">
        <v>82</v>
      </c>
      <c r="F41" s="47">
        <v>120000009</v>
      </c>
      <c r="G41" s="48" t="s">
        <v>83</v>
      </c>
      <c r="H41" s="5">
        <v>0</v>
      </c>
      <c r="I41" s="5"/>
      <c r="J41" s="5">
        <v>6.281</v>
      </c>
      <c r="K41" s="5">
        <v>6.739</v>
      </c>
      <c r="L41" s="6">
        <f t="shared" si="1"/>
        <v>7.952019999999999</v>
      </c>
      <c r="M41" s="5">
        <v>8.831</v>
      </c>
      <c r="N41" s="6">
        <f t="shared" si="2"/>
        <v>10.42058</v>
      </c>
      <c r="O41" s="5">
        <v>0</v>
      </c>
      <c r="P41" s="8">
        <f t="shared" si="3"/>
        <v>6.281</v>
      </c>
      <c r="Q41" s="40" t="s">
        <v>130</v>
      </c>
      <c r="R41" s="40" t="e">
        <f t="shared" si="5"/>
        <v>#DIV/0!</v>
      </c>
      <c r="S41" s="5">
        <f>P41</f>
        <v>6.281</v>
      </c>
      <c r="T41" s="5"/>
      <c r="U41" s="7"/>
      <c r="V41" s="4"/>
    </row>
    <row r="42" spans="1:22" ht="31.5">
      <c r="A42" s="4"/>
      <c r="B42" s="4"/>
      <c r="C42" s="4"/>
      <c r="D42" s="4"/>
      <c r="E42" s="46" t="s">
        <v>84</v>
      </c>
      <c r="F42" s="47">
        <v>120000010</v>
      </c>
      <c r="G42" s="48" t="s">
        <v>85</v>
      </c>
      <c r="H42" s="5">
        <v>0</v>
      </c>
      <c r="I42" s="5"/>
      <c r="J42" s="5">
        <v>1.641</v>
      </c>
      <c r="K42" s="5">
        <v>1.43</v>
      </c>
      <c r="L42" s="6">
        <f t="shared" si="1"/>
        <v>1.6873999999999998</v>
      </c>
      <c r="M42" s="5">
        <v>1.43</v>
      </c>
      <c r="N42" s="6">
        <f t="shared" si="2"/>
        <v>1.6873999999999998</v>
      </c>
      <c r="O42" s="5">
        <v>0</v>
      </c>
      <c r="P42" s="8">
        <f t="shared" si="3"/>
        <v>1.641</v>
      </c>
      <c r="Q42" s="40" t="s">
        <v>130</v>
      </c>
      <c r="R42" s="40"/>
      <c r="S42" s="5">
        <f>P42</f>
        <v>1.641</v>
      </c>
      <c r="T42" s="5"/>
      <c r="U42" s="7"/>
      <c r="V42" s="4"/>
    </row>
    <row r="43" spans="1:22" ht="31.5">
      <c r="A43" s="4"/>
      <c r="B43" s="4"/>
      <c r="C43" s="4"/>
      <c r="D43" s="4"/>
      <c r="E43" s="46" t="s">
        <v>86</v>
      </c>
      <c r="F43" s="47">
        <v>120000011</v>
      </c>
      <c r="G43" s="48" t="s">
        <v>87</v>
      </c>
      <c r="H43" s="5">
        <v>0</v>
      </c>
      <c r="I43" s="5"/>
      <c r="J43" s="5">
        <v>3.833</v>
      </c>
      <c r="K43" s="5">
        <v>4.415</v>
      </c>
      <c r="L43" s="6">
        <f t="shared" si="1"/>
        <v>5.2097</v>
      </c>
      <c r="M43" s="5">
        <v>6.178</v>
      </c>
      <c r="N43" s="6">
        <f t="shared" si="2"/>
        <v>7.290039999999999</v>
      </c>
      <c r="O43" s="5">
        <v>0</v>
      </c>
      <c r="P43" s="8">
        <f t="shared" si="3"/>
        <v>3.833</v>
      </c>
      <c r="Q43" s="40" t="s">
        <v>130</v>
      </c>
      <c r="R43" s="40"/>
      <c r="S43" s="5">
        <f>P43</f>
        <v>3.833</v>
      </c>
      <c r="T43" s="5"/>
      <c r="U43" s="7"/>
      <c r="V43" s="4"/>
    </row>
    <row r="44" spans="1:22" ht="31.5">
      <c r="A44" s="3"/>
      <c r="B44" s="3"/>
      <c r="C44" s="3"/>
      <c r="D44" s="3"/>
      <c r="E44" s="42" t="s">
        <v>88</v>
      </c>
      <c r="F44" s="43">
        <v>1300</v>
      </c>
      <c r="G44" s="45" t="s">
        <v>89</v>
      </c>
      <c r="H44" s="8">
        <v>0</v>
      </c>
      <c r="I44" s="8">
        <f>I45</f>
        <v>15.186</v>
      </c>
      <c r="J44" s="8">
        <v>14.159</v>
      </c>
      <c r="K44" s="8">
        <v>12.529</v>
      </c>
      <c r="L44" s="8">
        <f t="shared" si="1"/>
        <v>14.78422</v>
      </c>
      <c r="M44" s="8">
        <v>12.529</v>
      </c>
      <c r="N44" s="8">
        <f t="shared" si="2"/>
        <v>14.78422</v>
      </c>
      <c r="O44" s="8">
        <v>0</v>
      </c>
      <c r="P44" s="8">
        <f t="shared" si="3"/>
        <v>-1.0269999999999992</v>
      </c>
      <c r="Q44" s="40">
        <f t="shared" si="4"/>
        <v>0.9323719215066509</v>
      </c>
      <c r="R44" s="40">
        <f>1-J44/I44</f>
        <v>0.06762807849334906</v>
      </c>
      <c r="S44" s="8">
        <v>0</v>
      </c>
      <c r="T44" s="8">
        <f>T45</f>
        <v>-1.0269999999999992</v>
      </c>
      <c r="U44" s="44"/>
      <c r="V44" s="3"/>
    </row>
    <row r="45" spans="1:22" ht="31.5">
      <c r="A45" s="4"/>
      <c r="B45" s="4"/>
      <c r="C45" s="4"/>
      <c r="D45" s="4"/>
      <c r="E45" s="46" t="s">
        <v>90</v>
      </c>
      <c r="F45" s="47">
        <v>130000001</v>
      </c>
      <c r="G45" s="48" t="s">
        <v>91</v>
      </c>
      <c r="H45" s="5">
        <v>0</v>
      </c>
      <c r="I45" s="5">
        <v>15.186</v>
      </c>
      <c r="J45" s="5">
        <v>14.159</v>
      </c>
      <c r="K45" s="5">
        <v>12.529</v>
      </c>
      <c r="L45" s="6">
        <f t="shared" si="1"/>
        <v>14.78422</v>
      </c>
      <c r="M45" s="5">
        <v>12.529</v>
      </c>
      <c r="N45" s="6">
        <f t="shared" si="2"/>
        <v>14.78422</v>
      </c>
      <c r="O45" s="5">
        <v>0</v>
      </c>
      <c r="P45" s="8">
        <f t="shared" si="3"/>
        <v>-1.0269999999999992</v>
      </c>
      <c r="Q45" s="40">
        <f t="shared" si="4"/>
        <v>0.9323719215066509</v>
      </c>
      <c r="R45" s="40">
        <f>1-J45/I45</f>
        <v>0.06762807849334906</v>
      </c>
      <c r="S45" s="5"/>
      <c r="T45" s="5">
        <f>P45</f>
        <v>-1.0269999999999992</v>
      </c>
      <c r="U45" s="7"/>
      <c r="V45" s="4"/>
    </row>
    <row r="46" spans="1:22" ht="47.25">
      <c r="A46" s="3"/>
      <c r="B46" s="3"/>
      <c r="C46" s="3"/>
      <c r="D46" s="3"/>
      <c r="E46" s="42" t="s">
        <v>92</v>
      </c>
      <c r="F46" s="43">
        <v>1400</v>
      </c>
      <c r="G46" s="45" t="s">
        <v>93</v>
      </c>
      <c r="H46" s="8"/>
      <c r="I46" s="8"/>
      <c r="J46" s="8"/>
      <c r="K46" s="8"/>
      <c r="L46" s="8">
        <f t="shared" si="1"/>
        <v>0</v>
      </c>
      <c r="M46" s="8"/>
      <c r="N46" s="8">
        <f t="shared" si="2"/>
        <v>0</v>
      </c>
      <c r="O46" s="8"/>
      <c r="P46" s="8">
        <f t="shared" si="3"/>
        <v>0</v>
      </c>
      <c r="Q46" s="40" t="s">
        <v>130</v>
      </c>
      <c r="R46" s="40"/>
      <c r="S46" s="8">
        <v>0</v>
      </c>
      <c r="T46" s="8"/>
      <c r="U46" s="44"/>
      <c r="V46" s="3"/>
    </row>
    <row r="47" spans="1:22" ht="15.75">
      <c r="A47" s="3"/>
      <c r="B47" s="3"/>
      <c r="C47" s="3"/>
      <c r="D47" s="3"/>
      <c r="E47" s="42" t="s">
        <v>94</v>
      </c>
      <c r="F47" s="49">
        <v>1500</v>
      </c>
      <c r="G47" s="45" t="s">
        <v>95</v>
      </c>
      <c r="H47" s="8">
        <v>0</v>
      </c>
      <c r="I47" s="8">
        <f>I48+I49</f>
        <v>19.087</v>
      </c>
      <c r="J47" s="8">
        <v>45.062000000000005</v>
      </c>
      <c r="K47" s="8">
        <v>34.735</v>
      </c>
      <c r="L47" s="8">
        <f t="shared" si="1"/>
        <v>40.9873</v>
      </c>
      <c r="M47" s="8">
        <v>34.314</v>
      </c>
      <c r="N47" s="8">
        <f t="shared" si="2"/>
        <v>40.49052</v>
      </c>
      <c r="O47" s="8">
        <v>0</v>
      </c>
      <c r="P47" s="8">
        <f t="shared" si="3"/>
        <v>25.975000000000005</v>
      </c>
      <c r="Q47" s="40">
        <f t="shared" si="4"/>
        <v>2.3608738932257562</v>
      </c>
      <c r="R47" s="40">
        <f>1-J47/I47</f>
        <v>-1.3608738932257562</v>
      </c>
      <c r="S47" s="8">
        <f>S48</f>
        <v>0</v>
      </c>
      <c r="T47" s="8">
        <v>0</v>
      </c>
      <c r="U47" s="44"/>
      <c r="V47" s="3"/>
    </row>
    <row r="48" spans="1:22" ht="31.5">
      <c r="A48" s="4"/>
      <c r="B48" s="4"/>
      <c r="C48" s="4"/>
      <c r="D48" s="4"/>
      <c r="E48" s="46" t="s">
        <v>96</v>
      </c>
      <c r="F48" s="47">
        <v>150000001</v>
      </c>
      <c r="G48" s="48" t="s">
        <v>97</v>
      </c>
      <c r="H48" s="5">
        <v>0</v>
      </c>
      <c r="I48" s="5">
        <v>12</v>
      </c>
      <c r="J48" s="5">
        <v>39.328</v>
      </c>
      <c r="K48" s="5">
        <v>29.835</v>
      </c>
      <c r="L48" s="6">
        <f t="shared" si="1"/>
        <v>35.2053</v>
      </c>
      <c r="M48" s="5">
        <v>29.835</v>
      </c>
      <c r="N48" s="6">
        <f t="shared" si="2"/>
        <v>35.2053</v>
      </c>
      <c r="O48" s="5">
        <v>0</v>
      </c>
      <c r="P48" s="8">
        <f t="shared" si="3"/>
        <v>27.328000000000003</v>
      </c>
      <c r="Q48" s="40">
        <f t="shared" si="4"/>
        <v>3.2773333333333334</v>
      </c>
      <c r="R48" s="40">
        <f>1-J48/I48</f>
        <v>-2.2773333333333334</v>
      </c>
      <c r="S48" s="5"/>
      <c r="T48" s="5"/>
      <c r="U48" s="7"/>
      <c r="V48" s="4"/>
    </row>
    <row r="49" spans="1:22" ht="31.5">
      <c r="A49" s="4"/>
      <c r="B49" s="4"/>
      <c r="C49" s="4"/>
      <c r="D49" s="4"/>
      <c r="E49" s="46" t="s">
        <v>98</v>
      </c>
      <c r="F49" s="47">
        <v>150000002</v>
      </c>
      <c r="G49" s="48" t="s">
        <v>99</v>
      </c>
      <c r="H49" s="5">
        <v>0</v>
      </c>
      <c r="I49" s="5">
        <v>7.087</v>
      </c>
      <c r="J49" s="5">
        <v>4.555</v>
      </c>
      <c r="K49" s="5">
        <v>3.897</v>
      </c>
      <c r="L49" s="6">
        <f t="shared" si="1"/>
        <v>4.598459999999999</v>
      </c>
      <c r="M49" s="5">
        <v>3.476</v>
      </c>
      <c r="N49" s="6">
        <f t="shared" si="2"/>
        <v>4.10168</v>
      </c>
      <c r="O49" s="5">
        <v>0</v>
      </c>
      <c r="P49" s="8">
        <f t="shared" si="3"/>
        <v>-2.532</v>
      </c>
      <c r="Q49" s="40">
        <f t="shared" si="4"/>
        <v>0.6427261182446733</v>
      </c>
      <c r="R49" s="40"/>
      <c r="S49" s="5"/>
      <c r="T49" s="5"/>
      <c r="U49" s="7"/>
      <c r="V49" s="4"/>
    </row>
    <row r="50" spans="1:22" ht="15.75">
      <c r="A50" s="4"/>
      <c r="B50" s="4"/>
      <c r="C50" s="4"/>
      <c r="D50" s="4"/>
      <c r="E50" s="46" t="s">
        <v>100</v>
      </c>
      <c r="F50" s="47">
        <v>150000003</v>
      </c>
      <c r="G50" s="48" t="s">
        <v>101</v>
      </c>
      <c r="H50" s="5">
        <v>0</v>
      </c>
      <c r="I50" s="5"/>
      <c r="J50" s="5"/>
      <c r="K50" s="5"/>
      <c r="L50" s="6">
        <f t="shared" si="1"/>
        <v>0</v>
      </c>
      <c r="M50" s="5"/>
      <c r="N50" s="6">
        <f t="shared" si="2"/>
        <v>0</v>
      </c>
      <c r="O50" s="5">
        <v>0</v>
      </c>
      <c r="P50" s="8">
        <f t="shared" si="3"/>
        <v>0</v>
      </c>
      <c r="Q50" s="40" t="s">
        <v>130</v>
      </c>
      <c r="R50" s="40" t="e">
        <f>1-J50/I50</f>
        <v>#DIV/0!</v>
      </c>
      <c r="S50" s="5"/>
      <c r="T50" s="5"/>
      <c r="U50" s="7"/>
      <c r="V50" s="4"/>
    </row>
    <row r="51" spans="1:22" ht="63">
      <c r="A51" s="4"/>
      <c r="B51" s="4"/>
      <c r="C51" s="4"/>
      <c r="D51" s="4"/>
      <c r="E51" s="46" t="s">
        <v>102</v>
      </c>
      <c r="F51" s="47">
        <v>150000004</v>
      </c>
      <c r="G51" s="48" t="s">
        <v>103</v>
      </c>
      <c r="H51" s="5">
        <v>0</v>
      </c>
      <c r="I51" s="5"/>
      <c r="J51" s="5"/>
      <c r="K51" s="5"/>
      <c r="L51" s="6">
        <f t="shared" si="1"/>
        <v>0</v>
      </c>
      <c r="M51" s="5"/>
      <c r="N51" s="6">
        <f t="shared" si="2"/>
        <v>0</v>
      </c>
      <c r="O51" s="5">
        <v>0</v>
      </c>
      <c r="P51" s="8">
        <f t="shared" si="3"/>
        <v>0</v>
      </c>
      <c r="Q51" s="40" t="s">
        <v>130</v>
      </c>
      <c r="R51" s="40" t="e">
        <f>1-J51/I51</f>
        <v>#DIV/0!</v>
      </c>
      <c r="S51" s="5"/>
      <c r="T51" s="5"/>
      <c r="U51" s="7"/>
      <c r="V51" s="4"/>
    </row>
    <row r="52" spans="1:22" ht="47.25">
      <c r="A52" s="4"/>
      <c r="B52" s="4"/>
      <c r="C52" s="4"/>
      <c r="D52" s="4"/>
      <c r="E52" s="46" t="s">
        <v>104</v>
      </c>
      <c r="F52" s="47">
        <v>150000005</v>
      </c>
      <c r="G52" s="48" t="s">
        <v>105</v>
      </c>
      <c r="H52" s="5">
        <v>0</v>
      </c>
      <c r="I52" s="5"/>
      <c r="J52" s="5"/>
      <c r="K52" s="5"/>
      <c r="L52" s="6">
        <f t="shared" si="1"/>
        <v>0</v>
      </c>
      <c r="M52" s="5"/>
      <c r="N52" s="6">
        <f t="shared" si="2"/>
        <v>0</v>
      </c>
      <c r="O52" s="5">
        <v>0</v>
      </c>
      <c r="P52" s="8">
        <f t="shared" si="3"/>
        <v>0</v>
      </c>
      <c r="Q52" s="40" t="s">
        <v>130</v>
      </c>
      <c r="R52" s="40" t="e">
        <f>1-J52/I52</f>
        <v>#DIV/0!</v>
      </c>
      <c r="S52" s="5"/>
      <c r="T52" s="5"/>
      <c r="U52" s="7"/>
      <c r="V52" s="4"/>
    </row>
    <row r="53" spans="1:22" ht="31.5">
      <c r="A53" s="4"/>
      <c r="B53" s="4"/>
      <c r="C53" s="4"/>
      <c r="D53" s="4"/>
      <c r="E53" s="46" t="s">
        <v>106</v>
      </c>
      <c r="F53" s="47">
        <v>150000006</v>
      </c>
      <c r="G53" s="48" t="s">
        <v>107</v>
      </c>
      <c r="H53" s="5">
        <v>0</v>
      </c>
      <c r="I53" s="5"/>
      <c r="J53" s="5"/>
      <c r="K53" s="5"/>
      <c r="L53" s="6">
        <f t="shared" si="1"/>
        <v>0</v>
      </c>
      <c r="M53" s="5"/>
      <c r="N53" s="6">
        <f t="shared" si="2"/>
        <v>0</v>
      </c>
      <c r="O53" s="5">
        <v>0</v>
      </c>
      <c r="P53" s="8">
        <f t="shared" si="3"/>
        <v>0</v>
      </c>
      <c r="Q53" s="40" t="s">
        <v>130</v>
      </c>
      <c r="R53" s="40" t="e">
        <f>1-J53/I53</f>
        <v>#DIV/0!</v>
      </c>
      <c r="S53" s="5"/>
      <c r="T53" s="5"/>
      <c r="U53" s="7"/>
      <c r="V53" s="4"/>
    </row>
    <row r="54" spans="1:22" ht="31.5">
      <c r="A54" s="4"/>
      <c r="B54" s="4"/>
      <c r="C54" s="4"/>
      <c r="D54" s="4"/>
      <c r="E54" s="46" t="s">
        <v>108</v>
      </c>
      <c r="F54" s="47">
        <v>150000007</v>
      </c>
      <c r="G54" s="48" t="s">
        <v>109</v>
      </c>
      <c r="H54" s="5">
        <v>0</v>
      </c>
      <c r="I54" s="5"/>
      <c r="J54" s="5">
        <v>1.179</v>
      </c>
      <c r="K54" s="5">
        <v>1.003</v>
      </c>
      <c r="L54" s="6">
        <f t="shared" si="1"/>
        <v>1.1835399999999998</v>
      </c>
      <c r="M54" s="5">
        <v>1.003</v>
      </c>
      <c r="N54" s="6">
        <f t="shared" si="2"/>
        <v>1.1835399999999998</v>
      </c>
      <c r="O54" s="5">
        <v>0</v>
      </c>
      <c r="P54" s="8">
        <f t="shared" si="3"/>
        <v>1.179</v>
      </c>
      <c r="Q54" s="40" t="s">
        <v>130</v>
      </c>
      <c r="R54" s="40"/>
      <c r="S54" s="5"/>
      <c r="T54" s="5"/>
      <c r="U54" s="7"/>
      <c r="V54" s="4"/>
    </row>
    <row r="55" spans="1:22" ht="15.75">
      <c r="A55" s="3"/>
      <c r="B55" s="3"/>
      <c r="C55" s="3"/>
      <c r="D55" s="3"/>
      <c r="E55" s="42" t="s">
        <v>110</v>
      </c>
      <c r="F55" s="43">
        <v>2000</v>
      </c>
      <c r="G55" s="39" t="s">
        <v>111</v>
      </c>
      <c r="H55" s="8">
        <v>2.929</v>
      </c>
      <c r="I55" s="8">
        <v>12.16</v>
      </c>
      <c r="J55" s="8">
        <v>0</v>
      </c>
      <c r="K55" s="8">
        <v>0.237</v>
      </c>
      <c r="L55" s="8">
        <f t="shared" si="1"/>
        <v>0.27965999999999996</v>
      </c>
      <c r="M55" s="8">
        <v>0.237</v>
      </c>
      <c r="N55" s="8">
        <f t="shared" si="2"/>
        <v>0.27965999999999996</v>
      </c>
      <c r="O55" s="8">
        <v>12.26</v>
      </c>
      <c r="P55" s="8">
        <f t="shared" si="3"/>
        <v>-12.16</v>
      </c>
      <c r="Q55" s="40">
        <f t="shared" si="4"/>
        <v>0</v>
      </c>
      <c r="R55" s="40">
        <f>1-J55/I55</f>
        <v>1</v>
      </c>
      <c r="S55" s="8">
        <v>0</v>
      </c>
      <c r="T55" s="8">
        <v>0</v>
      </c>
      <c r="U55" s="44"/>
      <c r="V55" s="3"/>
    </row>
    <row r="56" spans="1:22" ht="31.5">
      <c r="A56" s="3"/>
      <c r="B56" s="3"/>
      <c r="C56" s="3"/>
      <c r="D56" s="3"/>
      <c r="E56" s="42" t="s">
        <v>112</v>
      </c>
      <c r="F56" s="43">
        <v>2100</v>
      </c>
      <c r="G56" s="45" t="s">
        <v>31</v>
      </c>
      <c r="H56" s="8">
        <v>0</v>
      </c>
      <c r="I56" s="8">
        <f>H56</f>
        <v>0</v>
      </c>
      <c r="J56" s="8">
        <v>0</v>
      </c>
      <c r="K56" s="8">
        <v>0</v>
      </c>
      <c r="L56" s="8">
        <f t="shared" si="1"/>
        <v>0</v>
      </c>
      <c r="M56" s="8">
        <v>0</v>
      </c>
      <c r="N56" s="8">
        <f t="shared" si="2"/>
        <v>0</v>
      </c>
      <c r="O56" s="8">
        <v>0</v>
      </c>
      <c r="P56" s="8">
        <f t="shared" si="3"/>
        <v>0</v>
      </c>
      <c r="Q56" s="40" t="s">
        <v>130</v>
      </c>
      <c r="R56" s="40" t="e">
        <f>1-J56/I56</f>
        <v>#DIV/0!</v>
      </c>
      <c r="S56" s="8">
        <v>0</v>
      </c>
      <c r="T56" s="8">
        <v>0</v>
      </c>
      <c r="U56" s="44"/>
      <c r="V56" s="3"/>
    </row>
    <row r="57" spans="1:22" ht="31.5">
      <c r="A57" s="4"/>
      <c r="B57" s="4"/>
      <c r="C57" s="4"/>
      <c r="D57" s="4"/>
      <c r="E57" s="46" t="s">
        <v>113</v>
      </c>
      <c r="F57" s="47">
        <v>210000001</v>
      </c>
      <c r="G57" s="48" t="s">
        <v>114</v>
      </c>
      <c r="H57" s="5">
        <v>0</v>
      </c>
      <c r="I57" s="5"/>
      <c r="J57" s="5"/>
      <c r="K57" s="5"/>
      <c r="L57" s="8"/>
      <c r="M57" s="5"/>
      <c r="N57" s="8"/>
      <c r="O57" s="5">
        <v>0</v>
      </c>
      <c r="P57" s="8">
        <f t="shared" si="3"/>
        <v>0</v>
      </c>
      <c r="Q57" s="40" t="s">
        <v>130</v>
      </c>
      <c r="R57" s="40" t="e">
        <f>1-J57/I57</f>
        <v>#DIV/0!</v>
      </c>
      <c r="S57" s="5"/>
      <c r="T57" s="5"/>
      <c r="U57" s="7"/>
      <c r="V57" s="4"/>
    </row>
    <row r="58" spans="1:22" ht="31.5">
      <c r="A58" s="4"/>
      <c r="B58" s="4"/>
      <c r="C58" s="4"/>
      <c r="D58" s="4"/>
      <c r="E58" s="46" t="s">
        <v>115</v>
      </c>
      <c r="F58" s="47">
        <v>210000002</v>
      </c>
      <c r="G58" s="48" t="s">
        <v>116</v>
      </c>
      <c r="H58" s="5">
        <v>0</v>
      </c>
      <c r="I58" s="5"/>
      <c r="J58" s="5"/>
      <c r="K58" s="5"/>
      <c r="L58" s="8"/>
      <c r="M58" s="5"/>
      <c r="N58" s="8"/>
      <c r="O58" s="5">
        <v>0</v>
      </c>
      <c r="P58" s="8">
        <f t="shared" si="3"/>
        <v>0</v>
      </c>
      <c r="Q58" s="40" t="s">
        <v>130</v>
      </c>
      <c r="R58" s="40" t="e">
        <f>1-J58/I58</f>
        <v>#DIV/0!</v>
      </c>
      <c r="S58" s="5"/>
      <c r="T58" s="5"/>
      <c r="U58" s="7"/>
      <c r="V58" s="4"/>
    </row>
    <row r="59" spans="1:22" ht="15.75">
      <c r="A59" s="3"/>
      <c r="B59" s="3"/>
      <c r="C59" s="3"/>
      <c r="D59" s="3"/>
      <c r="E59" s="42" t="s">
        <v>117</v>
      </c>
      <c r="F59" s="43">
        <v>2200</v>
      </c>
      <c r="G59" s="45" t="s">
        <v>118</v>
      </c>
      <c r="H59" s="8">
        <v>2.929</v>
      </c>
      <c r="I59" s="8">
        <f>I60</f>
        <v>12.16</v>
      </c>
      <c r="J59" s="8">
        <v>0</v>
      </c>
      <c r="K59" s="8">
        <v>0.237</v>
      </c>
      <c r="L59" s="8">
        <f t="shared" si="1"/>
        <v>0.27965999999999996</v>
      </c>
      <c r="M59" s="8">
        <v>0.237</v>
      </c>
      <c r="N59" s="8">
        <f t="shared" si="2"/>
        <v>0.27965999999999996</v>
      </c>
      <c r="O59" s="8">
        <v>12.26</v>
      </c>
      <c r="P59" s="8">
        <f t="shared" si="3"/>
        <v>-12.16</v>
      </c>
      <c r="Q59" s="40" t="s">
        <v>130</v>
      </c>
      <c r="R59" s="40"/>
      <c r="S59" s="8">
        <v>0</v>
      </c>
      <c r="T59" s="8">
        <v>0</v>
      </c>
      <c r="U59" s="44"/>
      <c r="V59" s="3"/>
    </row>
    <row r="60" spans="1:22" ht="47.25">
      <c r="A60" s="4"/>
      <c r="B60" s="4"/>
      <c r="C60" s="4"/>
      <c r="D60" s="4"/>
      <c r="E60" s="46" t="s">
        <v>119</v>
      </c>
      <c r="F60" s="47">
        <v>220000001</v>
      </c>
      <c r="G60" s="48" t="s">
        <v>120</v>
      </c>
      <c r="H60" s="5">
        <v>2.929</v>
      </c>
      <c r="I60" s="5">
        <v>12.16</v>
      </c>
      <c r="J60" s="5"/>
      <c r="K60" s="5"/>
      <c r="L60" s="8"/>
      <c r="M60" s="5"/>
      <c r="N60" s="8"/>
      <c r="O60" s="5">
        <v>12.26</v>
      </c>
      <c r="P60" s="8">
        <f t="shared" si="3"/>
        <v>-12.16</v>
      </c>
      <c r="Q60" s="40" t="s">
        <v>130</v>
      </c>
      <c r="R60" s="40"/>
      <c r="S60" s="5"/>
      <c r="T60" s="5"/>
      <c r="U60" s="7"/>
      <c r="V60" s="4"/>
    </row>
    <row r="61" spans="1:22" ht="15.75">
      <c r="A61" s="4"/>
      <c r="B61" s="4"/>
      <c r="C61" s="4"/>
      <c r="D61" s="4"/>
      <c r="E61" s="46" t="s">
        <v>121</v>
      </c>
      <c r="F61" s="47">
        <v>220000002</v>
      </c>
      <c r="G61" s="48" t="s">
        <v>122</v>
      </c>
      <c r="H61" s="5">
        <v>0</v>
      </c>
      <c r="I61" s="5"/>
      <c r="J61" s="5"/>
      <c r="K61" s="5"/>
      <c r="L61" s="8">
        <f t="shared" si="1"/>
        <v>0</v>
      </c>
      <c r="M61" s="5"/>
      <c r="N61" s="8">
        <f t="shared" si="2"/>
        <v>0</v>
      </c>
      <c r="O61" s="5"/>
      <c r="P61" s="8">
        <f t="shared" si="3"/>
        <v>0</v>
      </c>
      <c r="Q61" s="40" t="s">
        <v>130</v>
      </c>
      <c r="R61" s="40"/>
      <c r="S61" s="5"/>
      <c r="T61" s="5"/>
      <c r="U61" s="7"/>
      <c r="V61" s="4"/>
    </row>
    <row r="62" spans="1:22" ht="47.25">
      <c r="A62" s="4"/>
      <c r="B62" s="4"/>
      <c r="C62" s="4"/>
      <c r="D62" s="4"/>
      <c r="E62" s="46" t="s">
        <v>123</v>
      </c>
      <c r="F62" s="47">
        <v>220000003</v>
      </c>
      <c r="G62" s="48" t="s">
        <v>124</v>
      </c>
      <c r="H62" s="5">
        <v>0</v>
      </c>
      <c r="I62" s="5"/>
      <c r="J62" s="5"/>
      <c r="K62" s="5">
        <v>0.237</v>
      </c>
      <c r="L62" s="6">
        <f t="shared" si="1"/>
        <v>0.27965999999999996</v>
      </c>
      <c r="M62" s="5">
        <v>0.237</v>
      </c>
      <c r="N62" s="6">
        <f t="shared" si="2"/>
        <v>0.27965999999999996</v>
      </c>
      <c r="O62" s="5">
        <v>0</v>
      </c>
      <c r="P62" s="8">
        <f t="shared" si="3"/>
        <v>0</v>
      </c>
      <c r="Q62" s="40" t="s">
        <v>130</v>
      </c>
      <c r="R62" s="40"/>
      <c r="S62" s="5"/>
      <c r="T62" s="5"/>
      <c r="U62" s="7"/>
      <c r="V62" s="4"/>
    </row>
    <row r="63" spans="1:22" ht="15.75">
      <c r="A63" s="4"/>
      <c r="B63" s="4"/>
      <c r="C63" s="4"/>
      <c r="D63" s="4"/>
      <c r="E63" s="46" t="s">
        <v>125</v>
      </c>
      <c r="F63" s="47">
        <v>220000004</v>
      </c>
      <c r="G63" s="48" t="s">
        <v>122</v>
      </c>
      <c r="H63" s="5">
        <v>0</v>
      </c>
      <c r="I63" s="5"/>
      <c r="J63" s="5"/>
      <c r="K63" s="5"/>
      <c r="L63" s="5"/>
      <c r="M63" s="5"/>
      <c r="N63" s="5"/>
      <c r="O63" s="5"/>
      <c r="P63" s="8">
        <f t="shared" si="3"/>
        <v>0</v>
      </c>
      <c r="Q63" s="40" t="s">
        <v>130</v>
      </c>
      <c r="R63" s="50"/>
      <c r="S63" s="5"/>
      <c r="T63" s="5"/>
      <c r="U63" s="7"/>
      <c r="V63" s="4"/>
    </row>
    <row r="64" spans="1:22" s="12" customFormat="1" ht="19.5">
      <c r="A64" s="11"/>
      <c r="B64" s="11"/>
      <c r="C64" s="11"/>
      <c r="D64" s="11"/>
      <c r="E64" s="51"/>
      <c r="F64" s="52">
        <v>4000</v>
      </c>
      <c r="G64" s="53" t="s">
        <v>126</v>
      </c>
      <c r="H64" s="54"/>
      <c r="I64" s="54"/>
      <c r="J64" s="54"/>
      <c r="K64" s="54"/>
      <c r="L64" s="54"/>
      <c r="M64" s="54"/>
      <c r="N64" s="54"/>
      <c r="O64" s="54"/>
      <c r="P64" s="8">
        <f t="shared" si="3"/>
        <v>0</v>
      </c>
      <c r="Q64" s="40" t="s">
        <v>130</v>
      </c>
      <c r="R64" s="54"/>
      <c r="S64" s="54"/>
      <c r="T64" s="54"/>
      <c r="U64" s="44"/>
      <c r="V64" s="11"/>
    </row>
    <row r="65" spans="1:22" ht="31.5">
      <c r="A65" s="3"/>
      <c r="B65" s="3"/>
      <c r="C65" s="3"/>
      <c r="D65" s="3"/>
      <c r="E65" s="55" t="s">
        <v>127</v>
      </c>
      <c r="F65" s="43">
        <v>3100</v>
      </c>
      <c r="G65" s="45" t="s">
        <v>128</v>
      </c>
      <c r="H65" s="8"/>
      <c r="I65" s="8"/>
      <c r="J65" s="8"/>
      <c r="K65" s="8"/>
      <c r="L65" s="8"/>
      <c r="M65" s="8"/>
      <c r="N65" s="8"/>
      <c r="O65" s="8"/>
      <c r="P65" s="8">
        <f t="shared" si="3"/>
        <v>0</v>
      </c>
      <c r="Q65" s="40" t="s">
        <v>130</v>
      </c>
      <c r="R65" s="8">
        <v>0</v>
      </c>
      <c r="S65" s="8"/>
      <c r="T65" s="8"/>
      <c r="U65" s="44"/>
      <c r="V65" s="3"/>
    </row>
  </sheetData>
  <sheetProtection/>
  <mergeCells count="21">
    <mergeCell ref="E5:T5"/>
    <mergeCell ref="E6:S6"/>
    <mergeCell ref="T1:U1"/>
    <mergeCell ref="T2:U2"/>
    <mergeCell ref="T3:U3"/>
    <mergeCell ref="K9:K11"/>
    <mergeCell ref="M9:M11"/>
    <mergeCell ref="Q10:Q11"/>
    <mergeCell ref="E9:E11"/>
    <mergeCell ref="F9:F11"/>
    <mergeCell ref="G9:G11"/>
    <mergeCell ref="H9:H11"/>
    <mergeCell ref="I9:J10"/>
    <mergeCell ref="N9:N11"/>
    <mergeCell ref="O9:O11"/>
    <mergeCell ref="P9:T9"/>
    <mergeCell ref="U9:U11"/>
    <mergeCell ref="P10:P11"/>
    <mergeCell ref="R10:R11"/>
    <mergeCell ref="S10:T10"/>
    <mergeCell ref="L9:L11"/>
  </mergeCells>
  <printOptions/>
  <pageMargins left="0.11811023622047245" right="0.11811023622047245" top="0.35433070866141736" bottom="0.35433070866141736" header="0.31496062992125984" footer="0.31496062992125984"/>
  <pageSetup fitToHeight="5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8"/>
  <sheetViews>
    <sheetView tabSelected="1" view="pageBreakPreview" zoomScale="70" zoomScaleNormal="60" zoomScaleSheetLayoutView="70" zoomScalePageLayoutView="0" workbookViewId="0" topLeftCell="A1">
      <selection activeCell="H5" sqref="H5"/>
    </sheetView>
  </sheetViews>
  <sheetFormatPr defaultColWidth="9.140625" defaultRowHeight="15"/>
  <cols>
    <col min="2" max="2" width="42.57421875" style="0" customWidth="1"/>
    <col min="3" max="3" width="14.7109375" style="0" customWidth="1"/>
    <col min="4" max="5" width="9.140625" style="0" customWidth="1"/>
    <col min="6" max="6" width="16.57421875" style="0" customWidth="1"/>
    <col min="7" max="7" width="11.57421875" style="0" customWidth="1"/>
    <col min="8" max="8" width="9.140625" style="99" customWidth="1"/>
    <col min="9" max="9" width="9.140625" style="0" customWidth="1"/>
    <col min="10" max="10" width="9.140625" style="102" customWidth="1"/>
    <col min="11" max="11" width="16.57421875" style="0" customWidth="1"/>
    <col min="12" max="12" width="12.28125" style="0" customWidth="1"/>
    <col min="13" max="13" width="10.8515625" style="0" customWidth="1"/>
    <col min="14" max="14" width="12.28125" style="0" customWidth="1"/>
    <col min="15" max="15" width="11.28125" style="0" customWidth="1"/>
    <col min="16" max="16" width="17.8515625" style="0" customWidth="1"/>
    <col min="17" max="17" width="11.00390625" style="0" customWidth="1"/>
    <col min="18" max="18" width="9.140625" style="99" customWidth="1"/>
    <col min="21" max="21" width="18.421875" style="0" customWidth="1"/>
    <col min="22" max="22" width="11.00390625" style="0" customWidth="1"/>
    <col min="24" max="24" width="11.57421875" style="0" customWidth="1"/>
    <col min="25" max="25" width="13.7109375" style="0" customWidth="1"/>
    <col min="26" max="26" width="12.28125" style="0" customWidth="1"/>
    <col min="28" max="28" width="11.7109375" style="0" customWidth="1"/>
    <col min="30" max="30" width="12.7109375" style="0" customWidth="1"/>
    <col min="33" max="33" width="12.421875" style="0" customWidth="1"/>
    <col min="34" max="34" width="14.28125" style="0" customWidth="1"/>
    <col min="35" max="35" width="12.7109375" style="0" customWidth="1"/>
    <col min="36" max="36" width="10.8515625" style="0" customWidth="1"/>
    <col min="37" max="37" width="11.57421875" style="0" customWidth="1"/>
    <col min="38" max="38" width="13.421875" style="0" customWidth="1"/>
  </cols>
  <sheetData>
    <row r="1" spans="1:38" s="100" customFormat="1" ht="15.75" customHeight="1">
      <c r="A1" s="119" t="s">
        <v>0</v>
      </c>
      <c r="B1" s="122" t="s">
        <v>167</v>
      </c>
      <c r="C1" s="110" t="s">
        <v>170</v>
      </c>
      <c r="D1" s="110"/>
      <c r="E1" s="110"/>
      <c r="F1" s="110"/>
      <c r="G1" s="110"/>
      <c r="H1" s="110" t="s">
        <v>171</v>
      </c>
      <c r="I1" s="110"/>
      <c r="J1" s="110"/>
      <c r="K1" s="110"/>
      <c r="L1" s="110"/>
      <c r="M1" s="110" t="s">
        <v>172</v>
      </c>
      <c r="N1" s="110"/>
      <c r="O1" s="110"/>
      <c r="P1" s="110"/>
      <c r="Q1" s="110"/>
      <c r="R1" s="110" t="s">
        <v>173</v>
      </c>
      <c r="S1" s="110"/>
      <c r="T1" s="110"/>
      <c r="U1" s="110"/>
      <c r="V1" s="110"/>
      <c r="W1" s="112" t="s">
        <v>174</v>
      </c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3"/>
      <c r="AL1" s="114" t="s">
        <v>219</v>
      </c>
    </row>
    <row r="2" spans="1:38" s="100" customFormat="1" ht="15.75">
      <c r="A2" s="120"/>
      <c r="B2" s="12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 t="s">
        <v>175</v>
      </c>
      <c r="X2" s="111"/>
      <c r="Y2" s="111"/>
      <c r="Z2" s="111"/>
      <c r="AA2" s="116" t="s">
        <v>176</v>
      </c>
      <c r="AB2" s="116"/>
      <c r="AC2" s="116"/>
      <c r="AD2" s="116"/>
      <c r="AE2" s="116"/>
      <c r="AF2" s="116" t="s">
        <v>177</v>
      </c>
      <c r="AG2" s="116"/>
      <c r="AH2" s="116"/>
      <c r="AI2" s="116"/>
      <c r="AJ2" s="116"/>
      <c r="AK2" s="117" t="s">
        <v>178</v>
      </c>
      <c r="AL2" s="115"/>
    </row>
    <row r="3" spans="1:38" s="100" customFormat="1" ht="110.25">
      <c r="A3" s="120"/>
      <c r="B3" s="123"/>
      <c r="C3" s="75" t="s">
        <v>179</v>
      </c>
      <c r="D3" s="75" t="s">
        <v>168</v>
      </c>
      <c r="E3" s="75" t="s">
        <v>169</v>
      </c>
      <c r="F3" s="75" t="s">
        <v>180</v>
      </c>
      <c r="G3" s="75" t="s">
        <v>181</v>
      </c>
      <c r="H3" s="75" t="s">
        <v>179</v>
      </c>
      <c r="I3" s="75" t="s">
        <v>168</v>
      </c>
      <c r="J3" s="75" t="s">
        <v>169</v>
      </c>
      <c r="K3" s="75" t="s">
        <v>180</v>
      </c>
      <c r="L3" s="75" t="s">
        <v>181</v>
      </c>
      <c r="M3" s="75" t="s">
        <v>179</v>
      </c>
      <c r="N3" s="75" t="s">
        <v>168</v>
      </c>
      <c r="O3" s="75" t="s">
        <v>169</v>
      </c>
      <c r="P3" s="75" t="s">
        <v>180</v>
      </c>
      <c r="Q3" s="75" t="s">
        <v>181</v>
      </c>
      <c r="R3" s="75" t="s">
        <v>179</v>
      </c>
      <c r="S3" s="75" t="s">
        <v>168</v>
      </c>
      <c r="T3" s="75" t="s">
        <v>169</v>
      </c>
      <c r="U3" s="75" t="s">
        <v>180</v>
      </c>
      <c r="V3" s="75" t="s">
        <v>181</v>
      </c>
      <c r="W3" s="76" t="s">
        <v>182</v>
      </c>
      <c r="X3" s="77" t="s">
        <v>183</v>
      </c>
      <c r="Y3" s="77" t="s">
        <v>184</v>
      </c>
      <c r="Z3" s="77" t="s">
        <v>185</v>
      </c>
      <c r="AA3" s="76" t="s">
        <v>182</v>
      </c>
      <c r="AB3" s="77" t="s">
        <v>186</v>
      </c>
      <c r="AC3" s="77" t="s">
        <v>187</v>
      </c>
      <c r="AD3" s="77" t="s">
        <v>188</v>
      </c>
      <c r="AE3" s="77" t="s">
        <v>189</v>
      </c>
      <c r="AF3" s="76" t="s">
        <v>182</v>
      </c>
      <c r="AG3" s="77" t="s">
        <v>186</v>
      </c>
      <c r="AH3" s="76" t="s">
        <v>190</v>
      </c>
      <c r="AI3" s="76" t="s">
        <v>191</v>
      </c>
      <c r="AJ3" s="77" t="s">
        <v>192</v>
      </c>
      <c r="AK3" s="118"/>
      <c r="AL3" s="115"/>
    </row>
    <row r="4" spans="1:38" s="100" customFormat="1" ht="16.5" thickBot="1">
      <c r="A4" s="121"/>
      <c r="B4" s="124"/>
      <c r="C4" s="78" t="s">
        <v>16</v>
      </c>
      <c r="D4" s="78" t="s">
        <v>17</v>
      </c>
      <c r="E4" s="78" t="s">
        <v>18</v>
      </c>
      <c r="F4" s="78" t="s">
        <v>19</v>
      </c>
      <c r="G4" s="78" t="s">
        <v>20</v>
      </c>
      <c r="H4" s="78" t="s">
        <v>21</v>
      </c>
      <c r="I4" s="78" t="s">
        <v>22</v>
      </c>
      <c r="J4" s="78" t="s">
        <v>23</v>
      </c>
      <c r="K4" s="78" t="s">
        <v>24</v>
      </c>
      <c r="L4" s="78" t="s">
        <v>25</v>
      </c>
      <c r="M4" s="78" t="s">
        <v>26</v>
      </c>
      <c r="N4" s="78" t="s">
        <v>193</v>
      </c>
      <c r="O4" s="78" t="s">
        <v>194</v>
      </c>
      <c r="P4" s="78" t="s">
        <v>195</v>
      </c>
      <c r="Q4" s="78" t="s">
        <v>196</v>
      </c>
      <c r="R4" s="78" t="s">
        <v>197</v>
      </c>
      <c r="S4" s="78" t="s">
        <v>198</v>
      </c>
      <c r="T4" s="78" t="s">
        <v>199</v>
      </c>
      <c r="U4" s="78" t="s">
        <v>200</v>
      </c>
      <c r="V4" s="78" t="s">
        <v>201</v>
      </c>
      <c r="W4" s="78" t="s">
        <v>202</v>
      </c>
      <c r="X4" s="78" t="s">
        <v>203</v>
      </c>
      <c r="Y4" s="78" t="s">
        <v>204</v>
      </c>
      <c r="Z4" s="78" t="s">
        <v>205</v>
      </c>
      <c r="AA4" s="78" t="s">
        <v>206</v>
      </c>
      <c r="AB4" s="78" t="s">
        <v>207</v>
      </c>
      <c r="AC4" s="78" t="s">
        <v>208</v>
      </c>
      <c r="AD4" s="78" t="s">
        <v>209</v>
      </c>
      <c r="AE4" s="78" t="s">
        <v>210</v>
      </c>
      <c r="AF4" s="78" t="s">
        <v>211</v>
      </c>
      <c r="AG4" s="78" t="s">
        <v>212</v>
      </c>
      <c r="AH4" s="78" t="s">
        <v>213</v>
      </c>
      <c r="AI4" s="78" t="s">
        <v>214</v>
      </c>
      <c r="AJ4" s="78" t="s">
        <v>215</v>
      </c>
      <c r="AK4" s="78" t="s">
        <v>216</v>
      </c>
      <c r="AL4" s="79" t="s">
        <v>217</v>
      </c>
    </row>
    <row r="5" spans="1:38" s="101" customFormat="1" ht="20.25">
      <c r="A5" s="80"/>
      <c r="B5" s="81" t="s">
        <v>27</v>
      </c>
      <c r="C5" s="82">
        <f aca="true" t="shared" si="0" ref="C5:AA5">C6+C40</f>
        <v>377.384</v>
      </c>
      <c r="D5" s="82">
        <f t="shared" si="0"/>
        <v>13.569400000000002</v>
      </c>
      <c r="E5" s="82">
        <f t="shared" si="0"/>
        <v>135.7672</v>
      </c>
      <c r="F5" s="82">
        <f t="shared" si="0"/>
        <v>231.2304</v>
      </c>
      <c r="G5" s="82">
        <f t="shared" si="0"/>
        <v>0</v>
      </c>
      <c r="H5" s="82">
        <f t="shared" si="0"/>
        <v>388.082</v>
      </c>
      <c r="I5" s="82">
        <f t="shared" si="0"/>
        <v>9.6716</v>
      </c>
      <c r="J5" s="82">
        <f t="shared" si="0"/>
        <v>128.66660000000002</v>
      </c>
      <c r="K5" s="82">
        <f t="shared" si="0"/>
        <v>249.74380000000002</v>
      </c>
      <c r="L5" s="82">
        <f t="shared" si="0"/>
        <v>0</v>
      </c>
      <c r="M5" s="82">
        <f t="shared" si="0"/>
        <v>11.908999999999997</v>
      </c>
      <c r="N5" s="82">
        <f t="shared" si="0"/>
        <v>-2.494400000000002</v>
      </c>
      <c r="O5" s="82">
        <f t="shared" si="0"/>
        <v>2.5897999999999977</v>
      </c>
      <c r="P5" s="82">
        <f t="shared" si="0"/>
        <v>9.81360000000001</v>
      </c>
      <c r="Q5" s="82">
        <f t="shared" si="0"/>
        <v>0</v>
      </c>
      <c r="R5" s="82">
        <f t="shared" si="0"/>
        <v>399.3109999999999</v>
      </c>
      <c r="S5" s="82">
        <f t="shared" si="0"/>
        <v>15.74085</v>
      </c>
      <c r="T5" s="82">
        <f t="shared" si="0"/>
        <v>132.87699999999998</v>
      </c>
      <c r="U5" s="82">
        <f t="shared" si="0"/>
        <v>250.41119999999995</v>
      </c>
      <c r="V5" s="82">
        <f t="shared" si="0"/>
        <v>0.281</v>
      </c>
      <c r="W5" s="82">
        <f t="shared" si="0"/>
        <v>0</v>
      </c>
      <c r="X5" s="82">
        <f t="shared" si="0"/>
        <v>0</v>
      </c>
      <c r="Y5" s="82">
        <f t="shared" si="0"/>
        <v>0</v>
      </c>
      <c r="Z5" s="82">
        <f t="shared" si="0"/>
        <v>0</v>
      </c>
      <c r="AA5" s="82">
        <f t="shared" si="0"/>
        <v>0</v>
      </c>
      <c r="AB5" s="82">
        <f aca="true" t="shared" si="1" ref="AB5:AL5">AB6+AB40</f>
        <v>0</v>
      </c>
      <c r="AC5" s="82">
        <f t="shared" si="1"/>
        <v>0</v>
      </c>
      <c r="AD5" s="103">
        <f t="shared" si="1"/>
        <v>0</v>
      </c>
      <c r="AE5" s="82">
        <f t="shared" si="1"/>
        <v>0</v>
      </c>
      <c r="AF5" s="82">
        <f t="shared" si="1"/>
        <v>0</v>
      </c>
      <c r="AG5" s="82">
        <f t="shared" si="1"/>
        <v>0</v>
      </c>
      <c r="AH5" s="82">
        <f t="shared" si="1"/>
        <v>0</v>
      </c>
      <c r="AI5" s="82">
        <f t="shared" si="1"/>
        <v>0</v>
      </c>
      <c r="AJ5" s="82">
        <f t="shared" si="1"/>
        <v>0</v>
      </c>
      <c r="AK5" s="82">
        <f t="shared" si="1"/>
        <v>0</v>
      </c>
      <c r="AL5" s="82">
        <f t="shared" si="1"/>
        <v>0</v>
      </c>
    </row>
    <row r="6" spans="1:38" s="101" customFormat="1" ht="53.25" customHeight="1">
      <c r="A6" s="73" t="s">
        <v>28</v>
      </c>
      <c r="B6" s="74" t="s">
        <v>29</v>
      </c>
      <c r="C6" s="83">
        <f aca="true" t="shared" si="2" ref="C6:AC6">C7+C23+C33+C35+C36</f>
        <v>365.224</v>
      </c>
      <c r="D6" s="83">
        <f t="shared" si="2"/>
        <v>13.569400000000002</v>
      </c>
      <c r="E6" s="83">
        <f t="shared" si="2"/>
        <v>130.9032</v>
      </c>
      <c r="F6" s="83">
        <f t="shared" si="2"/>
        <v>223.9344</v>
      </c>
      <c r="G6" s="83">
        <f t="shared" si="2"/>
        <v>0</v>
      </c>
      <c r="H6" s="83">
        <f t="shared" si="2"/>
        <v>388.082</v>
      </c>
      <c r="I6" s="83">
        <f t="shared" si="2"/>
        <v>9.6716</v>
      </c>
      <c r="J6" s="83">
        <f t="shared" si="2"/>
        <v>128.66660000000002</v>
      </c>
      <c r="K6" s="83">
        <f t="shared" si="2"/>
        <v>249.74380000000002</v>
      </c>
      <c r="L6" s="83">
        <f t="shared" si="2"/>
        <v>0</v>
      </c>
      <c r="M6" s="83">
        <f t="shared" si="2"/>
        <v>11.908999999999997</v>
      </c>
      <c r="N6" s="83">
        <f t="shared" si="2"/>
        <v>-2.494400000000002</v>
      </c>
      <c r="O6" s="83">
        <f t="shared" si="2"/>
        <v>2.5897999999999977</v>
      </c>
      <c r="P6" s="83">
        <f t="shared" si="2"/>
        <v>9.81360000000001</v>
      </c>
      <c r="Q6" s="83">
        <f t="shared" si="2"/>
        <v>0</v>
      </c>
      <c r="R6" s="83">
        <f t="shared" si="2"/>
        <v>399.0299999999999</v>
      </c>
      <c r="S6" s="83">
        <f t="shared" si="2"/>
        <v>15.74085</v>
      </c>
      <c r="T6" s="83">
        <f t="shared" si="2"/>
        <v>132.87699999999998</v>
      </c>
      <c r="U6" s="83">
        <f t="shared" si="2"/>
        <v>250.41119999999995</v>
      </c>
      <c r="V6" s="83">
        <f t="shared" si="2"/>
        <v>0</v>
      </c>
      <c r="W6" s="83">
        <f t="shared" si="2"/>
        <v>0</v>
      </c>
      <c r="X6" s="83">
        <f t="shared" si="2"/>
        <v>0</v>
      </c>
      <c r="Y6" s="83">
        <f t="shared" si="2"/>
        <v>0</v>
      </c>
      <c r="Z6" s="83">
        <f t="shared" si="2"/>
        <v>0</v>
      </c>
      <c r="AA6" s="83">
        <f t="shared" si="2"/>
        <v>0</v>
      </c>
      <c r="AB6" s="83">
        <f t="shared" si="2"/>
        <v>0</v>
      </c>
      <c r="AC6" s="83">
        <f t="shared" si="2"/>
        <v>0</v>
      </c>
      <c r="AD6" s="104"/>
      <c r="AE6" s="83">
        <f>AE7+AE23+AE33+AE35+AE36</f>
        <v>0</v>
      </c>
      <c r="AF6" s="83">
        <f>AF7+AF23+AF33+AF35+AF36</f>
        <v>0</v>
      </c>
      <c r="AG6" s="83">
        <f>AG7+AG23+AG33+AG35+AG36</f>
        <v>0</v>
      </c>
      <c r="AH6" s="83"/>
      <c r="AI6" s="83"/>
      <c r="AJ6" s="83">
        <f>AJ7+AJ23+AJ33+AJ35+AJ36</f>
        <v>0</v>
      </c>
      <c r="AK6" s="83"/>
      <c r="AL6" s="83"/>
    </row>
    <row r="7" spans="1:38" s="98" customFormat="1" ht="72" customHeight="1">
      <c r="A7" s="65" t="s">
        <v>30</v>
      </c>
      <c r="B7" s="66" t="s">
        <v>31</v>
      </c>
      <c r="C7" s="67">
        <f aca="true" t="shared" si="3" ref="C7:K7">SUM(C8:C22)</f>
        <v>277.389</v>
      </c>
      <c r="D7" s="67">
        <f t="shared" si="3"/>
        <v>0</v>
      </c>
      <c r="E7" s="67">
        <f t="shared" si="3"/>
        <v>112.9556</v>
      </c>
      <c r="F7" s="67">
        <f t="shared" si="3"/>
        <v>166.4334</v>
      </c>
      <c r="G7" s="67">
        <f t="shared" si="3"/>
        <v>0</v>
      </c>
      <c r="H7" s="67">
        <f t="shared" si="3"/>
        <v>253.675</v>
      </c>
      <c r="I7" s="67">
        <f t="shared" si="3"/>
        <v>2.316</v>
      </c>
      <c r="J7" s="67">
        <f t="shared" si="3"/>
        <v>99.15400000000001</v>
      </c>
      <c r="K7" s="67">
        <f t="shared" si="3"/>
        <v>152.205</v>
      </c>
      <c r="L7" s="67"/>
      <c r="M7" s="67">
        <f aca="true" t="shared" si="4" ref="M7:AL7">SUM(M8:M22)</f>
        <v>-23.714000000000006</v>
      </c>
      <c r="N7" s="67">
        <f t="shared" si="4"/>
        <v>2.316</v>
      </c>
      <c r="O7" s="67">
        <f t="shared" si="4"/>
        <v>-13.801600000000004</v>
      </c>
      <c r="P7" s="67">
        <f t="shared" si="4"/>
        <v>-14.228399999999993</v>
      </c>
      <c r="Q7" s="67">
        <f t="shared" si="4"/>
        <v>0</v>
      </c>
      <c r="R7" s="67">
        <f t="shared" si="4"/>
        <v>266.20099999999996</v>
      </c>
      <c r="S7" s="67">
        <f t="shared" si="4"/>
        <v>2.316</v>
      </c>
      <c r="T7" s="67">
        <f t="shared" si="4"/>
        <v>102.23199999999999</v>
      </c>
      <c r="U7" s="67">
        <f t="shared" si="4"/>
        <v>161.65299999999996</v>
      </c>
      <c r="V7" s="67">
        <f t="shared" si="4"/>
        <v>0</v>
      </c>
      <c r="W7" s="67">
        <f t="shared" si="4"/>
        <v>0</v>
      </c>
      <c r="X7" s="67">
        <f t="shared" si="4"/>
        <v>0</v>
      </c>
      <c r="Y7" s="67">
        <f t="shared" si="4"/>
        <v>0</v>
      </c>
      <c r="Z7" s="67">
        <f t="shared" si="4"/>
        <v>0</v>
      </c>
      <c r="AA7" s="67">
        <f t="shared" si="4"/>
        <v>0</v>
      </c>
      <c r="AB7" s="67">
        <f t="shared" si="4"/>
        <v>0</v>
      </c>
      <c r="AC7" s="67">
        <f t="shared" si="4"/>
        <v>0</v>
      </c>
      <c r="AD7" s="67">
        <f t="shared" si="4"/>
        <v>0</v>
      </c>
      <c r="AE7" s="67">
        <f t="shared" si="4"/>
        <v>0</v>
      </c>
      <c r="AF7" s="67">
        <f t="shared" si="4"/>
        <v>0</v>
      </c>
      <c r="AG7" s="67">
        <f t="shared" si="4"/>
        <v>0</v>
      </c>
      <c r="AH7" s="67">
        <f t="shared" si="4"/>
        <v>0</v>
      </c>
      <c r="AI7" s="67">
        <f t="shared" si="4"/>
        <v>0</v>
      </c>
      <c r="AJ7" s="67">
        <f t="shared" si="4"/>
        <v>0</v>
      </c>
      <c r="AK7" s="67">
        <f t="shared" si="4"/>
        <v>0</v>
      </c>
      <c r="AL7" s="67">
        <f t="shared" si="4"/>
        <v>0</v>
      </c>
    </row>
    <row r="8" spans="1:38" s="17" customFormat="1" ht="43.5" customHeight="1">
      <c r="A8" s="62" t="s">
        <v>32</v>
      </c>
      <c r="B8" s="48" t="s">
        <v>33</v>
      </c>
      <c r="C8" s="5">
        <v>52.258</v>
      </c>
      <c r="D8" s="56"/>
      <c r="E8" s="56">
        <f>C8*0.4</f>
        <v>20.903200000000002</v>
      </c>
      <c r="F8" s="56">
        <f>C8*0.6</f>
        <v>31.3548</v>
      </c>
      <c r="G8" s="56"/>
      <c r="H8" s="63">
        <v>43.766</v>
      </c>
      <c r="I8" s="56"/>
      <c r="J8" s="56">
        <f>H8*0.4</f>
        <v>17.5064</v>
      </c>
      <c r="K8" s="56">
        <f>H8*0.6</f>
        <v>26.2596</v>
      </c>
      <c r="L8" s="56"/>
      <c r="M8" s="63">
        <f>H8-C8</f>
        <v>-8.492000000000004</v>
      </c>
      <c r="N8" s="63">
        <f aca="true" t="shared" si="5" ref="N8:Q22">I8-D8</f>
        <v>0</v>
      </c>
      <c r="O8" s="63">
        <f t="shared" si="5"/>
        <v>-3.3968000000000025</v>
      </c>
      <c r="P8" s="63">
        <f t="shared" si="5"/>
        <v>-5.095200000000002</v>
      </c>
      <c r="Q8" s="63">
        <f t="shared" si="5"/>
        <v>0</v>
      </c>
      <c r="R8" s="63">
        <v>49.984</v>
      </c>
      <c r="S8" s="56"/>
      <c r="T8" s="56">
        <v>18.081</v>
      </c>
      <c r="U8" s="56">
        <f>R8-S8-T8</f>
        <v>31.903000000000002</v>
      </c>
      <c r="V8" s="56"/>
      <c r="W8" s="57"/>
      <c r="X8" s="57"/>
      <c r="Y8" s="58"/>
      <c r="Z8" s="58"/>
      <c r="AA8" s="57"/>
      <c r="AB8" s="57"/>
      <c r="AC8" s="57"/>
      <c r="AD8" s="59" t="s">
        <v>218</v>
      </c>
      <c r="AE8" s="58"/>
      <c r="AF8" s="57"/>
      <c r="AG8" s="57"/>
      <c r="AH8" s="60" t="s">
        <v>218</v>
      </c>
      <c r="AI8" s="60" t="s">
        <v>218</v>
      </c>
      <c r="AJ8" s="58"/>
      <c r="AK8" s="60" t="s">
        <v>218</v>
      </c>
      <c r="AL8" s="61" t="s">
        <v>218</v>
      </c>
    </row>
    <row r="9" spans="1:38" ht="26.25" customHeight="1">
      <c r="A9" s="62" t="s">
        <v>34</v>
      </c>
      <c r="B9" s="48" t="s">
        <v>35</v>
      </c>
      <c r="C9" s="5">
        <v>8.687</v>
      </c>
      <c r="D9" s="56"/>
      <c r="E9" s="56">
        <f aca="true" t="shared" si="6" ref="E9:E19">C9*0.4</f>
        <v>3.4748</v>
      </c>
      <c r="F9" s="56">
        <f aca="true" t="shared" si="7" ref="F9:F19">C9*0.6</f>
        <v>5.212199999999999</v>
      </c>
      <c r="G9" s="56"/>
      <c r="H9" s="63">
        <v>12.754</v>
      </c>
      <c r="I9" s="56">
        <f>0.514</f>
        <v>0.514</v>
      </c>
      <c r="J9" s="56">
        <f>H9*0.4-0.514</f>
        <v>4.5876</v>
      </c>
      <c r="K9" s="56">
        <f>H9*0.6</f>
        <v>7.652399999999999</v>
      </c>
      <c r="L9" s="56"/>
      <c r="M9" s="63">
        <f aca="true" t="shared" si="8" ref="M9:M22">H9-C9</f>
        <v>4.067</v>
      </c>
      <c r="N9" s="63">
        <f t="shared" si="5"/>
        <v>0.514</v>
      </c>
      <c r="O9" s="63">
        <f t="shared" si="5"/>
        <v>1.1128</v>
      </c>
      <c r="P9" s="63">
        <f t="shared" si="5"/>
        <v>2.4402</v>
      </c>
      <c r="Q9" s="63">
        <f t="shared" si="5"/>
        <v>0</v>
      </c>
      <c r="R9" s="63">
        <v>17.944</v>
      </c>
      <c r="S9" s="56">
        <v>0.514</v>
      </c>
      <c r="T9" s="56">
        <v>4.655</v>
      </c>
      <c r="U9" s="56">
        <f aca="true" t="shared" si="9" ref="U9:U22">R9-S9-T9</f>
        <v>12.774999999999999</v>
      </c>
      <c r="V9" s="56"/>
      <c r="W9" s="57"/>
      <c r="X9" s="57"/>
      <c r="Y9" s="58"/>
      <c r="Z9" s="58"/>
      <c r="AA9" s="57"/>
      <c r="AB9" s="57"/>
      <c r="AC9" s="57"/>
      <c r="AD9" s="59" t="s">
        <v>218</v>
      </c>
      <c r="AE9" s="58"/>
      <c r="AF9" s="57"/>
      <c r="AG9" s="57"/>
      <c r="AH9" s="60" t="s">
        <v>218</v>
      </c>
      <c r="AI9" s="60" t="s">
        <v>218</v>
      </c>
      <c r="AJ9" s="58"/>
      <c r="AK9" s="60" t="s">
        <v>218</v>
      </c>
      <c r="AL9" s="61" t="s">
        <v>218</v>
      </c>
    </row>
    <row r="10" spans="1:38" ht="27.75" customHeight="1">
      <c r="A10" s="62" t="s">
        <v>36</v>
      </c>
      <c r="B10" s="48" t="s">
        <v>37</v>
      </c>
      <c r="C10" s="5">
        <v>42.539</v>
      </c>
      <c r="D10" s="56"/>
      <c r="E10" s="56">
        <f t="shared" si="6"/>
        <v>17.015600000000003</v>
      </c>
      <c r="F10" s="56">
        <f t="shared" si="7"/>
        <v>25.5234</v>
      </c>
      <c r="G10" s="56"/>
      <c r="H10" s="63">
        <v>46.31</v>
      </c>
      <c r="I10" s="56"/>
      <c r="J10" s="56">
        <f aca="true" t="shared" si="10" ref="J10:J20">H10*0.4</f>
        <v>18.524</v>
      </c>
      <c r="K10" s="56">
        <f aca="true" t="shared" si="11" ref="K10:K20">H10*0.6</f>
        <v>27.786</v>
      </c>
      <c r="L10" s="56"/>
      <c r="M10" s="63">
        <f t="shared" si="8"/>
        <v>3.771000000000001</v>
      </c>
      <c r="N10" s="63">
        <f t="shared" si="5"/>
        <v>0</v>
      </c>
      <c r="O10" s="63">
        <f t="shared" si="5"/>
        <v>1.5083999999999982</v>
      </c>
      <c r="P10" s="63">
        <f t="shared" si="5"/>
        <v>2.2626000000000026</v>
      </c>
      <c r="Q10" s="63">
        <f t="shared" si="5"/>
        <v>0</v>
      </c>
      <c r="R10" s="63">
        <v>36.333</v>
      </c>
      <c r="S10" s="56"/>
      <c r="T10" s="56">
        <v>19.15</v>
      </c>
      <c r="U10" s="56">
        <f t="shared" si="9"/>
        <v>17.183</v>
      </c>
      <c r="V10" s="56"/>
      <c r="W10" s="57"/>
      <c r="X10" s="57"/>
      <c r="Y10" s="58"/>
      <c r="Z10" s="58"/>
      <c r="AA10" s="57"/>
      <c r="AB10" s="57"/>
      <c r="AC10" s="57"/>
      <c r="AD10" s="59" t="s">
        <v>218</v>
      </c>
      <c r="AE10" s="58"/>
      <c r="AF10" s="57"/>
      <c r="AG10" s="57"/>
      <c r="AH10" s="60" t="s">
        <v>218</v>
      </c>
      <c r="AI10" s="60" t="s">
        <v>218</v>
      </c>
      <c r="AJ10" s="58"/>
      <c r="AK10" s="60" t="s">
        <v>218</v>
      </c>
      <c r="AL10" s="61" t="s">
        <v>218</v>
      </c>
    </row>
    <row r="11" spans="1:38" ht="21.75" customHeight="1">
      <c r="A11" s="62" t="s">
        <v>38</v>
      </c>
      <c r="B11" s="48" t="s">
        <v>39</v>
      </c>
      <c r="C11" s="5">
        <v>18.061</v>
      </c>
      <c r="D11" s="56"/>
      <c r="E11" s="56">
        <f t="shared" si="6"/>
        <v>7.2244</v>
      </c>
      <c r="F11" s="56">
        <f t="shared" si="7"/>
        <v>10.836599999999999</v>
      </c>
      <c r="G11" s="56"/>
      <c r="H11" s="63">
        <v>17.356</v>
      </c>
      <c r="I11" s="56"/>
      <c r="J11" s="56">
        <f>H11*0.4</f>
        <v>6.942400000000001</v>
      </c>
      <c r="K11" s="56">
        <f t="shared" si="11"/>
        <v>10.4136</v>
      </c>
      <c r="L11" s="56"/>
      <c r="M11" s="63">
        <f t="shared" si="8"/>
        <v>-0.7049999999999983</v>
      </c>
      <c r="N11" s="63">
        <f t="shared" si="5"/>
        <v>0</v>
      </c>
      <c r="O11" s="63">
        <f t="shared" si="5"/>
        <v>-0.28199999999999914</v>
      </c>
      <c r="P11" s="63">
        <f t="shared" si="5"/>
        <v>-0.42299999999999827</v>
      </c>
      <c r="Q11" s="63">
        <f t="shared" si="5"/>
        <v>0</v>
      </c>
      <c r="R11" s="63">
        <v>15.031</v>
      </c>
      <c r="S11" s="56"/>
      <c r="T11" s="56">
        <v>7.189</v>
      </c>
      <c r="U11" s="56">
        <f t="shared" si="9"/>
        <v>7.8420000000000005</v>
      </c>
      <c r="V11" s="56"/>
      <c r="W11" s="57"/>
      <c r="X11" s="57"/>
      <c r="Y11" s="58"/>
      <c r="Z11" s="58"/>
      <c r="AA11" s="57"/>
      <c r="AB11" s="57"/>
      <c r="AC11" s="57"/>
      <c r="AD11" s="59" t="s">
        <v>218</v>
      </c>
      <c r="AE11" s="58"/>
      <c r="AF11" s="57"/>
      <c r="AG11" s="57"/>
      <c r="AH11" s="60" t="s">
        <v>218</v>
      </c>
      <c r="AI11" s="60" t="s">
        <v>218</v>
      </c>
      <c r="AJ11" s="58"/>
      <c r="AK11" s="60" t="s">
        <v>218</v>
      </c>
      <c r="AL11" s="61" t="s">
        <v>218</v>
      </c>
    </row>
    <row r="12" spans="1:38" ht="24" customHeight="1">
      <c r="A12" s="62" t="s">
        <v>40</v>
      </c>
      <c r="B12" s="48" t="s">
        <v>41</v>
      </c>
      <c r="C12" s="5">
        <v>42.533</v>
      </c>
      <c r="D12" s="56"/>
      <c r="E12" s="56">
        <f t="shared" si="6"/>
        <v>17.0132</v>
      </c>
      <c r="F12" s="56">
        <f t="shared" si="7"/>
        <v>25.5198</v>
      </c>
      <c r="G12" s="56"/>
      <c r="H12" s="63">
        <v>29.111</v>
      </c>
      <c r="I12" s="56">
        <f>0.948</f>
        <v>0.948</v>
      </c>
      <c r="J12" s="56">
        <f>H12*0.4-0.948</f>
        <v>10.6964</v>
      </c>
      <c r="K12" s="56">
        <f t="shared" si="11"/>
        <v>17.4666</v>
      </c>
      <c r="L12" s="56"/>
      <c r="M12" s="63">
        <f t="shared" si="8"/>
        <v>-13.422</v>
      </c>
      <c r="N12" s="63">
        <f t="shared" si="5"/>
        <v>0.948</v>
      </c>
      <c r="O12" s="63">
        <f t="shared" si="5"/>
        <v>-6.316800000000001</v>
      </c>
      <c r="P12" s="63">
        <f t="shared" si="5"/>
        <v>-8.0532</v>
      </c>
      <c r="Q12" s="63">
        <f t="shared" si="5"/>
        <v>0</v>
      </c>
      <c r="R12" s="63">
        <v>35.209</v>
      </c>
      <c r="S12" s="56">
        <v>0.948</v>
      </c>
      <c r="T12" s="56">
        <v>11.13</v>
      </c>
      <c r="U12" s="56">
        <f t="shared" si="9"/>
        <v>23.131</v>
      </c>
      <c r="V12" s="56"/>
      <c r="W12" s="57"/>
      <c r="X12" s="57"/>
      <c r="Y12" s="58"/>
      <c r="Z12" s="58"/>
      <c r="AA12" s="57"/>
      <c r="AB12" s="57"/>
      <c r="AC12" s="57"/>
      <c r="AD12" s="59" t="s">
        <v>218</v>
      </c>
      <c r="AE12" s="58"/>
      <c r="AF12" s="57"/>
      <c r="AG12" s="57"/>
      <c r="AH12" s="60" t="s">
        <v>218</v>
      </c>
      <c r="AI12" s="60" t="s">
        <v>218</v>
      </c>
      <c r="AJ12" s="58"/>
      <c r="AK12" s="60" t="s">
        <v>218</v>
      </c>
      <c r="AL12" s="61" t="s">
        <v>218</v>
      </c>
    </row>
    <row r="13" spans="1:38" ht="28.5" customHeight="1">
      <c r="A13" s="62" t="s">
        <v>42</v>
      </c>
      <c r="B13" s="48" t="s">
        <v>43</v>
      </c>
      <c r="C13" s="5">
        <v>22.508</v>
      </c>
      <c r="D13" s="56"/>
      <c r="E13" s="56">
        <f t="shared" si="6"/>
        <v>9.0032</v>
      </c>
      <c r="F13" s="56">
        <f t="shared" si="7"/>
        <v>13.5048</v>
      </c>
      <c r="G13" s="56"/>
      <c r="H13" s="63">
        <v>18.768</v>
      </c>
      <c r="I13" s="56"/>
      <c r="J13" s="56">
        <f t="shared" si="10"/>
        <v>7.507200000000001</v>
      </c>
      <c r="K13" s="56">
        <f t="shared" si="11"/>
        <v>11.2608</v>
      </c>
      <c r="L13" s="56"/>
      <c r="M13" s="63">
        <f t="shared" si="8"/>
        <v>-3.7399999999999984</v>
      </c>
      <c r="N13" s="63">
        <f t="shared" si="5"/>
        <v>0</v>
      </c>
      <c r="O13" s="63">
        <f t="shared" si="5"/>
        <v>-1.4959999999999987</v>
      </c>
      <c r="P13" s="63">
        <f t="shared" si="5"/>
        <v>-2.2439999999999998</v>
      </c>
      <c r="Q13" s="63">
        <f t="shared" si="5"/>
        <v>0</v>
      </c>
      <c r="R13" s="63">
        <v>19.051</v>
      </c>
      <c r="S13" s="56"/>
      <c r="T13" s="56">
        <v>7.582</v>
      </c>
      <c r="U13" s="56">
        <f t="shared" si="9"/>
        <v>11.468999999999998</v>
      </c>
      <c r="V13" s="56"/>
      <c r="W13" s="57"/>
      <c r="X13" s="57"/>
      <c r="Y13" s="58"/>
      <c r="Z13" s="58"/>
      <c r="AA13" s="57"/>
      <c r="AB13" s="57"/>
      <c r="AC13" s="57"/>
      <c r="AD13" s="59" t="s">
        <v>218</v>
      </c>
      <c r="AE13" s="58"/>
      <c r="AF13" s="57"/>
      <c r="AG13" s="57"/>
      <c r="AH13" s="60" t="s">
        <v>218</v>
      </c>
      <c r="AI13" s="60" t="s">
        <v>218</v>
      </c>
      <c r="AJ13" s="58"/>
      <c r="AK13" s="60" t="s">
        <v>218</v>
      </c>
      <c r="AL13" s="61" t="s">
        <v>218</v>
      </c>
    </row>
    <row r="14" spans="1:38" ht="25.5" customHeight="1">
      <c r="A14" s="62" t="s">
        <v>44</v>
      </c>
      <c r="B14" s="48" t="s">
        <v>45</v>
      </c>
      <c r="C14" s="5">
        <v>22.1</v>
      </c>
      <c r="D14" s="56"/>
      <c r="E14" s="56">
        <f t="shared" si="6"/>
        <v>8.840000000000002</v>
      </c>
      <c r="F14" s="56">
        <f t="shared" si="7"/>
        <v>13.26</v>
      </c>
      <c r="G14" s="56"/>
      <c r="H14" s="63">
        <v>19.111</v>
      </c>
      <c r="I14" s="56">
        <f>0.854</f>
        <v>0.854</v>
      </c>
      <c r="J14" s="56">
        <f>H14*0.4-0.854</f>
        <v>6.790400000000001</v>
      </c>
      <c r="K14" s="56">
        <f t="shared" si="11"/>
        <v>11.4666</v>
      </c>
      <c r="L14" s="56"/>
      <c r="M14" s="63">
        <f t="shared" si="8"/>
        <v>-2.9890000000000008</v>
      </c>
      <c r="N14" s="63">
        <f t="shared" si="5"/>
        <v>0.854</v>
      </c>
      <c r="O14" s="63">
        <f t="shared" si="5"/>
        <v>-2.0496000000000008</v>
      </c>
      <c r="P14" s="63">
        <f t="shared" si="5"/>
        <v>-1.7934</v>
      </c>
      <c r="Q14" s="63">
        <f t="shared" si="5"/>
        <v>0</v>
      </c>
      <c r="R14" s="63">
        <v>18.587</v>
      </c>
      <c r="S14" s="56">
        <v>0.854</v>
      </c>
      <c r="T14" s="56">
        <v>7.129</v>
      </c>
      <c r="U14" s="56">
        <f t="shared" si="9"/>
        <v>10.604000000000001</v>
      </c>
      <c r="V14" s="56"/>
      <c r="W14" s="57"/>
      <c r="X14" s="57"/>
      <c r="Y14" s="58"/>
      <c r="Z14" s="58"/>
      <c r="AA14" s="57"/>
      <c r="AB14" s="57"/>
      <c r="AC14" s="57"/>
      <c r="AD14" s="59" t="s">
        <v>218</v>
      </c>
      <c r="AE14" s="58"/>
      <c r="AF14" s="57"/>
      <c r="AG14" s="57"/>
      <c r="AH14" s="60" t="s">
        <v>218</v>
      </c>
      <c r="AI14" s="60" t="s">
        <v>218</v>
      </c>
      <c r="AJ14" s="58"/>
      <c r="AK14" s="60" t="s">
        <v>218</v>
      </c>
      <c r="AL14" s="61" t="s">
        <v>218</v>
      </c>
    </row>
    <row r="15" spans="1:38" ht="30" customHeight="1">
      <c r="A15" s="62" t="s">
        <v>46</v>
      </c>
      <c r="B15" s="48" t="s">
        <v>47</v>
      </c>
      <c r="C15" s="5">
        <v>23.539</v>
      </c>
      <c r="D15" s="56"/>
      <c r="E15" s="56">
        <f t="shared" si="6"/>
        <v>9.415600000000001</v>
      </c>
      <c r="F15" s="56">
        <f t="shared" si="7"/>
        <v>14.1234</v>
      </c>
      <c r="G15" s="56"/>
      <c r="H15" s="63">
        <v>18.788</v>
      </c>
      <c r="I15" s="56"/>
      <c r="J15" s="56">
        <f t="shared" si="10"/>
        <v>7.5152</v>
      </c>
      <c r="K15" s="56">
        <f t="shared" si="11"/>
        <v>11.2728</v>
      </c>
      <c r="L15" s="56"/>
      <c r="M15" s="63">
        <f t="shared" si="8"/>
        <v>-4.751000000000001</v>
      </c>
      <c r="N15" s="63">
        <f t="shared" si="5"/>
        <v>0</v>
      </c>
      <c r="O15" s="63">
        <f t="shared" si="5"/>
        <v>-1.9004000000000012</v>
      </c>
      <c r="P15" s="63">
        <f t="shared" si="5"/>
        <v>-2.8506</v>
      </c>
      <c r="Q15" s="63">
        <f t="shared" si="5"/>
        <v>0</v>
      </c>
      <c r="R15" s="63">
        <v>22.348</v>
      </c>
      <c r="S15" s="56"/>
      <c r="T15" s="56">
        <v>7.591</v>
      </c>
      <c r="U15" s="56">
        <f t="shared" si="9"/>
        <v>14.756999999999998</v>
      </c>
      <c r="V15" s="56"/>
      <c r="W15" s="57"/>
      <c r="X15" s="57"/>
      <c r="Y15" s="58"/>
      <c r="Z15" s="58"/>
      <c r="AA15" s="57"/>
      <c r="AB15" s="57"/>
      <c r="AC15" s="57"/>
      <c r="AD15" s="59" t="s">
        <v>218</v>
      </c>
      <c r="AE15" s="58"/>
      <c r="AF15" s="57"/>
      <c r="AG15" s="57"/>
      <c r="AH15" s="60" t="s">
        <v>218</v>
      </c>
      <c r="AI15" s="60" t="s">
        <v>218</v>
      </c>
      <c r="AJ15" s="58"/>
      <c r="AK15" s="60" t="s">
        <v>218</v>
      </c>
      <c r="AL15" s="61" t="s">
        <v>218</v>
      </c>
    </row>
    <row r="16" spans="1:38" ht="26.25" customHeight="1">
      <c r="A16" s="62" t="s">
        <v>48</v>
      </c>
      <c r="B16" s="48" t="s">
        <v>49</v>
      </c>
      <c r="C16" s="5">
        <v>7.735</v>
      </c>
      <c r="D16" s="56"/>
      <c r="E16" s="56">
        <f t="shared" si="6"/>
        <v>3.0940000000000003</v>
      </c>
      <c r="F16" s="56">
        <f t="shared" si="7"/>
        <v>4.641</v>
      </c>
      <c r="G16" s="56"/>
      <c r="H16" s="63">
        <v>8.206</v>
      </c>
      <c r="I16" s="56"/>
      <c r="J16" s="56">
        <f t="shared" si="10"/>
        <v>3.2824</v>
      </c>
      <c r="K16" s="56">
        <f t="shared" si="11"/>
        <v>4.9235999999999995</v>
      </c>
      <c r="L16" s="56"/>
      <c r="M16" s="63">
        <f t="shared" si="8"/>
        <v>0.4709999999999992</v>
      </c>
      <c r="N16" s="63">
        <f t="shared" si="5"/>
        <v>0</v>
      </c>
      <c r="O16" s="63">
        <f t="shared" si="5"/>
        <v>0.18839999999999968</v>
      </c>
      <c r="P16" s="63">
        <f t="shared" si="5"/>
        <v>0.2825999999999995</v>
      </c>
      <c r="Q16" s="63">
        <f t="shared" si="5"/>
        <v>0</v>
      </c>
      <c r="R16" s="63">
        <v>8.267</v>
      </c>
      <c r="S16" s="56"/>
      <c r="T16" s="56">
        <v>3.246</v>
      </c>
      <c r="U16" s="56">
        <f t="shared" si="9"/>
        <v>5.020999999999999</v>
      </c>
      <c r="V16" s="56"/>
      <c r="W16" s="57"/>
      <c r="X16" s="57"/>
      <c r="Y16" s="58"/>
      <c r="Z16" s="58"/>
      <c r="AA16" s="57"/>
      <c r="AB16" s="57"/>
      <c r="AC16" s="57"/>
      <c r="AD16" s="59" t="s">
        <v>218</v>
      </c>
      <c r="AE16" s="58"/>
      <c r="AF16" s="57"/>
      <c r="AG16" s="57"/>
      <c r="AH16" s="60" t="s">
        <v>218</v>
      </c>
      <c r="AI16" s="60" t="s">
        <v>218</v>
      </c>
      <c r="AJ16" s="58"/>
      <c r="AK16" s="60" t="s">
        <v>218</v>
      </c>
      <c r="AL16" s="61" t="s">
        <v>218</v>
      </c>
    </row>
    <row r="17" spans="1:38" ht="32.25" customHeight="1">
      <c r="A17" s="62" t="s">
        <v>50</v>
      </c>
      <c r="B17" s="48" t="s">
        <v>51</v>
      </c>
      <c r="C17" s="5">
        <v>13.415</v>
      </c>
      <c r="D17" s="56"/>
      <c r="E17" s="56">
        <f t="shared" si="6"/>
        <v>5.366</v>
      </c>
      <c r="F17" s="56">
        <f t="shared" si="7"/>
        <v>8.049</v>
      </c>
      <c r="G17" s="56"/>
      <c r="H17" s="63">
        <v>8.851</v>
      </c>
      <c r="I17" s="56"/>
      <c r="J17" s="56">
        <f t="shared" si="10"/>
        <v>3.5404000000000004</v>
      </c>
      <c r="K17" s="56">
        <f t="shared" si="11"/>
        <v>5.3106</v>
      </c>
      <c r="L17" s="56"/>
      <c r="M17" s="63">
        <f t="shared" si="8"/>
        <v>-4.563999999999998</v>
      </c>
      <c r="N17" s="63">
        <f t="shared" si="5"/>
        <v>0</v>
      </c>
      <c r="O17" s="63">
        <f t="shared" si="5"/>
        <v>-1.8255999999999992</v>
      </c>
      <c r="P17" s="63">
        <f t="shared" si="5"/>
        <v>-2.7383999999999995</v>
      </c>
      <c r="Q17" s="63">
        <f t="shared" si="5"/>
        <v>0</v>
      </c>
      <c r="R17" s="63">
        <v>11.524</v>
      </c>
      <c r="S17" s="56"/>
      <c r="T17" s="56">
        <v>4.007</v>
      </c>
      <c r="U17" s="56">
        <f t="shared" si="9"/>
        <v>7.5169999999999995</v>
      </c>
      <c r="V17" s="56"/>
      <c r="W17" s="57"/>
      <c r="X17" s="57"/>
      <c r="Y17" s="58"/>
      <c r="Z17" s="58"/>
      <c r="AA17" s="57"/>
      <c r="AB17" s="57"/>
      <c r="AC17" s="57"/>
      <c r="AD17" s="59" t="s">
        <v>218</v>
      </c>
      <c r="AE17" s="58"/>
      <c r="AF17" s="57"/>
      <c r="AG17" s="57"/>
      <c r="AH17" s="60" t="s">
        <v>218</v>
      </c>
      <c r="AI17" s="60" t="s">
        <v>218</v>
      </c>
      <c r="AJ17" s="58"/>
      <c r="AK17" s="60" t="s">
        <v>218</v>
      </c>
      <c r="AL17" s="61" t="s">
        <v>218</v>
      </c>
    </row>
    <row r="18" spans="1:38" ht="25.5" customHeight="1">
      <c r="A18" s="62" t="s">
        <v>52</v>
      </c>
      <c r="B18" s="48" t="s">
        <v>53</v>
      </c>
      <c r="C18" s="5">
        <v>15.56</v>
      </c>
      <c r="D18" s="56"/>
      <c r="E18" s="56">
        <f t="shared" si="6"/>
        <v>6.224</v>
      </c>
      <c r="F18" s="56">
        <f t="shared" si="7"/>
        <v>9.336</v>
      </c>
      <c r="G18" s="56"/>
      <c r="H18" s="63">
        <v>12.961</v>
      </c>
      <c r="I18" s="56"/>
      <c r="J18" s="56">
        <f t="shared" si="10"/>
        <v>5.1844</v>
      </c>
      <c r="K18" s="56">
        <f t="shared" si="11"/>
        <v>7.7766</v>
      </c>
      <c r="L18" s="56"/>
      <c r="M18" s="63">
        <f t="shared" si="8"/>
        <v>-2.599</v>
      </c>
      <c r="N18" s="63">
        <f t="shared" si="5"/>
        <v>0</v>
      </c>
      <c r="O18" s="63">
        <f t="shared" si="5"/>
        <v>-1.0396</v>
      </c>
      <c r="P18" s="63">
        <f t="shared" si="5"/>
        <v>-1.5594000000000001</v>
      </c>
      <c r="Q18" s="63">
        <f t="shared" si="5"/>
        <v>0</v>
      </c>
      <c r="R18" s="63">
        <f>3.087+11.036</f>
        <v>14.123</v>
      </c>
      <c r="S18" s="56"/>
      <c r="T18" s="56">
        <v>5.243</v>
      </c>
      <c r="U18" s="56">
        <f t="shared" si="9"/>
        <v>8.879999999999999</v>
      </c>
      <c r="V18" s="56"/>
      <c r="W18" s="57"/>
      <c r="X18" s="57"/>
      <c r="Y18" s="58"/>
      <c r="Z18" s="58"/>
      <c r="AA18" s="57"/>
      <c r="AB18" s="57"/>
      <c r="AC18" s="57"/>
      <c r="AD18" s="59" t="s">
        <v>218</v>
      </c>
      <c r="AE18" s="58"/>
      <c r="AF18" s="57"/>
      <c r="AG18" s="57"/>
      <c r="AH18" s="60" t="s">
        <v>218</v>
      </c>
      <c r="AI18" s="60" t="s">
        <v>218</v>
      </c>
      <c r="AJ18" s="58"/>
      <c r="AK18" s="60" t="s">
        <v>218</v>
      </c>
      <c r="AL18" s="61" t="s">
        <v>218</v>
      </c>
    </row>
    <row r="19" spans="1:38" ht="45" customHeight="1">
      <c r="A19" s="62" t="s">
        <v>54</v>
      </c>
      <c r="B19" s="48" t="s">
        <v>55</v>
      </c>
      <c r="C19" s="5">
        <v>8.454</v>
      </c>
      <c r="D19" s="56"/>
      <c r="E19" s="56">
        <f t="shared" si="6"/>
        <v>3.3816000000000006</v>
      </c>
      <c r="F19" s="56">
        <f t="shared" si="7"/>
        <v>5.0724</v>
      </c>
      <c r="G19" s="56"/>
      <c r="H19" s="63">
        <f>SUM(I19:L19)</f>
        <v>0</v>
      </c>
      <c r="I19" s="56"/>
      <c r="J19" s="56"/>
      <c r="K19" s="56"/>
      <c r="L19" s="56"/>
      <c r="M19" s="63">
        <f t="shared" si="8"/>
        <v>-8.454</v>
      </c>
      <c r="N19" s="63">
        <f t="shared" si="5"/>
        <v>0</v>
      </c>
      <c r="O19" s="63">
        <f t="shared" si="5"/>
        <v>-3.3816000000000006</v>
      </c>
      <c r="P19" s="63">
        <f t="shared" si="5"/>
        <v>-5.0724</v>
      </c>
      <c r="Q19" s="63">
        <f t="shared" si="5"/>
        <v>0</v>
      </c>
      <c r="R19" s="63">
        <v>0</v>
      </c>
      <c r="S19" s="56"/>
      <c r="T19" s="56">
        <v>0</v>
      </c>
      <c r="U19" s="56">
        <f t="shared" si="9"/>
        <v>0</v>
      </c>
      <c r="V19" s="56"/>
      <c r="W19" s="57"/>
      <c r="X19" s="57"/>
      <c r="Y19" s="58"/>
      <c r="Z19" s="58"/>
      <c r="AA19" s="57"/>
      <c r="AB19" s="57"/>
      <c r="AC19" s="57"/>
      <c r="AD19" s="59" t="s">
        <v>218</v>
      </c>
      <c r="AE19" s="58"/>
      <c r="AF19" s="57"/>
      <c r="AG19" s="57"/>
      <c r="AH19" s="60" t="s">
        <v>218</v>
      </c>
      <c r="AI19" s="60" t="s">
        <v>218</v>
      </c>
      <c r="AJ19" s="58"/>
      <c r="AK19" s="60" t="s">
        <v>218</v>
      </c>
      <c r="AL19" s="61" t="s">
        <v>218</v>
      </c>
    </row>
    <row r="20" spans="1:38" ht="30" customHeight="1">
      <c r="A20" s="62" t="s">
        <v>56</v>
      </c>
      <c r="B20" s="48" t="s">
        <v>57</v>
      </c>
      <c r="C20" s="5"/>
      <c r="D20" s="56"/>
      <c r="E20" s="56"/>
      <c r="F20" s="56"/>
      <c r="G20" s="56"/>
      <c r="H20" s="63">
        <v>2.443</v>
      </c>
      <c r="I20" s="56"/>
      <c r="J20" s="56">
        <f t="shared" si="10"/>
        <v>0.9772000000000001</v>
      </c>
      <c r="K20" s="56">
        <f t="shared" si="11"/>
        <v>1.4658</v>
      </c>
      <c r="L20" s="56"/>
      <c r="M20" s="63">
        <f t="shared" si="8"/>
        <v>2.443</v>
      </c>
      <c r="N20" s="63">
        <f t="shared" si="5"/>
        <v>0</v>
      </c>
      <c r="O20" s="63">
        <f t="shared" si="5"/>
        <v>0.9772000000000001</v>
      </c>
      <c r="P20" s="63">
        <f t="shared" si="5"/>
        <v>1.4658</v>
      </c>
      <c r="Q20" s="63">
        <f t="shared" si="5"/>
        <v>0</v>
      </c>
      <c r="R20" s="63">
        <v>2.484</v>
      </c>
      <c r="S20" s="56"/>
      <c r="T20" s="56">
        <v>1.025</v>
      </c>
      <c r="U20" s="56">
        <f t="shared" si="9"/>
        <v>1.459</v>
      </c>
      <c r="V20" s="56"/>
      <c r="W20" s="57"/>
      <c r="X20" s="57"/>
      <c r="Y20" s="58"/>
      <c r="Z20" s="58"/>
      <c r="AA20" s="57"/>
      <c r="AB20" s="57"/>
      <c r="AC20" s="57"/>
      <c r="AD20" s="59" t="s">
        <v>218</v>
      </c>
      <c r="AE20" s="58"/>
      <c r="AF20" s="57"/>
      <c r="AG20" s="57"/>
      <c r="AH20" s="60" t="s">
        <v>218</v>
      </c>
      <c r="AI20" s="60" t="s">
        <v>218</v>
      </c>
      <c r="AJ20" s="58"/>
      <c r="AK20" s="60" t="s">
        <v>218</v>
      </c>
      <c r="AL20" s="61" t="s">
        <v>218</v>
      </c>
    </row>
    <row r="21" spans="1:38" ht="30" customHeight="1">
      <c r="A21" s="62" t="s">
        <v>58</v>
      </c>
      <c r="B21" s="48" t="s">
        <v>59</v>
      </c>
      <c r="C21" s="5"/>
      <c r="D21" s="56"/>
      <c r="E21" s="56">
        <v>2</v>
      </c>
      <c r="F21" s="56"/>
      <c r="G21" s="56"/>
      <c r="H21" s="63">
        <v>7.48</v>
      </c>
      <c r="I21" s="56"/>
      <c r="J21" s="56">
        <f>H21*0.4</f>
        <v>2.9920000000000004</v>
      </c>
      <c r="K21" s="56">
        <f>H21*0.6</f>
        <v>4.488</v>
      </c>
      <c r="L21" s="56"/>
      <c r="M21" s="63">
        <f t="shared" si="8"/>
        <v>7.48</v>
      </c>
      <c r="N21" s="63">
        <f t="shared" si="5"/>
        <v>0</v>
      </c>
      <c r="O21" s="63">
        <f t="shared" si="5"/>
        <v>0.9920000000000004</v>
      </c>
      <c r="P21" s="63">
        <f t="shared" si="5"/>
        <v>4.488</v>
      </c>
      <c r="Q21" s="63">
        <f t="shared" si="5"/>
        <v>0</v>
      </c>
      <c r="R21" s="63">
        <v>7.51</v>
      </c>
      <c r="S21" s="56"/>
      <c r="T21" s="56">
        <v>3.041</v>
      </c>
      <c r="U21" s="56">
        <f t="shared" si="9"/>
        <v>4.468999999999999</v>
      </c>
      <c r="V21" s="56"/>
      <c r="W21" s="57"/>
      <c r="X21" s="57"/>
      <c r="Y21" s="58"/>
      <c r="Z21" s="58"/>
      <c r="AA21" s="57"/>
      <c r="AB21" s="57"/>
      <c r="AC21" s="57"/>
      <c r="AD21" s="59" t="s">
        <v>218</v>
      </c>
      <c r="AE21" s="58"/>
      <c r="AF21" s="57"/>
      <c r="AG21" s="57"/>
      <c r="AH21" s="60" t="s">
        <v>218</v>
      </c>
      <c r="AI21" s="60" t="s">
        <v>218</v>
      </c>
      <c r="AJ21" s="58"/>
      <c r="AK21" s="60" t="s">
        <v>218</v>
      </c>
      <c r="AL21" s="61" t="s">
        <v>218</v>
      </c>
    </row>
    <row r="22" spans="1:38" ht="43.5" customHeight="1">
      <c r="A22" s="62" t="s">
        <v>60</v>
      </c>
      <c r="B22" s="48" t="s">
        <v>63</v>
      </c>
      <c r="C22" s="5"/>
      <c r="D22" s="56"/>
      <c r="E22" s="56"/>
      <c r="F22" s="56"/>
      <c r="G22" s="56"/>
      <c r="H22" s="63">
        <v>7.77</v>
      </c>
      <c r="I22" s="56"/>
      <c r="J22" s="56">
        <f>H22*0.4</f>
        <v>3.108</v>
      </c>
      <c r="K22" s="56">
        <f>H22*0.6</f>
        <v>4.662</v>
      </c>
      <c r="L22" s="56"/>
      <c r="M22" s="63">
        <f t="shared" si="8"/>
        <v>7.77</v>
      </c>
      <c r="N22" s="63">
        <f t="shared" si="5"/>
        <v>0</v>
      </c>
      <c r="O22" s="63">
        <f t="shared" si="5"/>
        <v>3.108</v>
      </c>
      <c r="P22" s="63">
        <f t="shared" si="5"/>
        <v>4.662</v>
      </c>
      <c r="Q22" s="63">
        <f t="shared" si="5"/>
        <v>0</v>
      </c>
      <c r="R22" s="63">
        <v>7.806</v>
      </c>
      <c r="S22" s="56"/>
      <c r="T22" s="56">
        <v>3.163</v>
      </c>
      <c r="U22" s="56">
        <f t="shared" si="9"/>
        <v>4.643000000000001</v>
      </c>
      <c r="V22" s="56"/>
      <c r="W22" s="57"/>
      <c r="X22" s="57"/>
      <c r="Y22" s="58"/>
      <c r="Z22" s="58"/>
      <c r="AA22" s="57"/>
      <c r="AB22" s="57"/>
      <c r="AC22" s="57"/>
      <c r="AD22" s="59" t="s">
        <v>218</v>
      </c>
      <c r="AE22" s="58"/>
      <c r="AF22" s="57"/>
      <c r="AG22" s="57"/>
      <c r="AH22" s="60" t="s">
        <v>218</v>
      </c>
      <c r="AI22" s="60" t="s">
        <v>218</v>
      </c>
      <c r="AJ22" s="58"/>
      <c r="AK22" s="60" t="s">
        <v>218</v>
      </c>
      <c r="AL22" s="61" t="s">
        <v>218</v>
      </c>
    </row>
    <row r="23" spans="1:38" s="99" customFormat="1" ht="57.75" customHeight="1">
      <c r="A23" s="65" t="s">
        <v>64</v>
      </c>
      <c r="B23" s="66" t="s">
        <v>65</v>
      </c>
      <c r="C23" s="67">
        <f aca="true" t="shared" si="12" ref="C23:K23">SUM(C24:C32)</f>
        <v>53.562</v>
      </c>
      <c r="D23" s="67">
        <f t="shared" si="12"/>
        <v>10.6334</v>
      </c>
      <c r="E23" s="67">
        <f t="shared" si="12"/>
        <v>10.7914</v>
      </c>
      <c r="F23" s="67">
        <f t="shared" si="12"/>
        <v>32.1372</v>
      </c>
      <c r="G23" s="67">
        <f t="shared" si="12"/>
        <v>0</v>
      </c>
      <c r="H23" s="67">
        <f t="shared" si="12"/>
        <v>75.186</v>
      </c>
      <c r="I23" s="67">
        <f t="shared" si="12"/>
        <v>5.4446</v>
      </c>
      <c r="J23" s="67">
        <f t="shared" si="12"/>
        <v>23.6926</v>
      </c>
      <c r="K23" s="67">
        <f t="shared" si="12"/>
        <v>46.0488</v>
      </c>
      <c r="L23" s="67"/>
      <c r="M23" s="67">
        <f aca="true" t="shared" si="13" ref="M23:AL23">SUM(M24:M32)</f>
        <v>21.624000000000002</v>
      </c>
      <c r="N23" s="67">
        <f t="shared" si="13"/>
        <v>-5.188800000000001</v>
      </c>
      <c r="O23" s="67">
        <f t="shared" si="13"/>
        <v>12.901200000000001</v>
      </c>
      <c r="P23" s="67">
        <f t="shared" si="13"/>
        <v>13.911600000000004</v>
      </c>
      <c r="Q23" s="67">
        <f t="shared" si="13"/>
        <v>0</v>
      </c>
      <c r="R23" s="67">
        <f t="shared" si="13"/>
        <v>77.05899999999998</v>
      </c>
      <c r="S23" s="67">
        <f t="shared" si="13"/>
        <v>11.51385</v>
      </c>
      <c r="T23" s="67">
        <f t="shared" si="13"/>
        <v>24.153</v>
      </c>
      <c r="U23" s="67">
        <f t="shared" si="13"/>
        <v>41.391200000000005</v>
      </c>
      <c r="V23" s="67">
        <f t="shared" si="13"/>
        <v>0</v>
      </c>
      <c r="W23" s="67">
        <f t="shared" si="13"/>
        <v>0</v>
      </c>
      <c r="X23" s="67">
        <f t="shared" si="13"/>
        <v>0</v>
      </c>
      <c r="Y23" s="67">
        <f t="shared" si="13"/>
        <v>0</v>
      </c>
      <c r="Z23" s="67">
        <f t="shared" si="13"/>
        <v>0</v>
      </c>
      <c r="AA23" s="67">
        <f t="shared" si="13"/>
        <v>0</v>
      </c>
      <c r="AB23" s="67">
        <f t="shared" si="13"/>
        <v>0</v>
      </c>
      <c r="AC23" s="67">
        <f t="shared" si="13"/>
        <v>0</v>
      </c>
      <c r="AD23" s="67">
        <f t="shared" si="13"/>
        <v>0</v>
      </c>
      <c r="AE23" s="67">
        <f t="shared" si="13"/>
        <v>0</v>
      </c>
      <c r="AF23" s="67">
        <f t="shared" si="13"/>
        <v>0</v>
      </c>
      <c r="AG23" s="67">
        <f t="shared" si="13"/>
        <v>0</v>
      </c>
      <c r="AH23" s="67">
        <f t="shared" si="13"/>
        <v>0</v>
      </c>
      <c r="AI23" s="67">
        <f t="shared" si="13"/>
        <v>0</v>
      </c>
      <c r="AJ23" s="67">
        <f t="shared" si="13"/>
        <v>0</v>
      </c>
      <c r="AK23" s="67">
        <f t="shared" si="13"/>
        <v>0</v>
      </c>
      <c r="AL23" s="67">
        <f t="shared" si="13"/>
        <v>0</v>
      </c>
    </row>
    <row r="24" spans="1:38" ht="47.25" customHeight="1">
      <c r="A24" s="62" t="s">
        <v>66</v>
      </c>
      <c r="B24" s="48" t="s">
        <v>67</v>
      </c>
      <c r="C24" s="5">
        <v>32.796</v>
      </c>
      <c r="D24" s="56">
        <f>C24*0.2</f>
        <v>6.559200000000001</v>
      </c>
      <c r="E24" s="56">
        <f>C24*0.2</f>
        <v>6.559200000000001</v>
      </c>
      <c r="F24" s="56">
        <f>C24*0.6</f>
        <v>19.677599999999998</v>
      </c>
      <c r="G24" s="56"/>
      <c r="H24" s="63">
        <f>I24+J24+K24</f>
        <v>40.63</v>
      </c>
      <c r="I24" s="56">
        <f>0.83</f>
        <v>0.83</v>
      </c>
      <c r="J24" s="56">
        <f>1.813+11.685</f>
        <v>13.498000000000001</v>
      </c>
      <c r="K24" s="56">
        <f>1.294+15.271+9.737</f>
        <v>26.302</v>
      </c>
      <c r="L24" s="56"/>
      <c r="M24" s="63">
        <f>H24-C24</f>
        <v>7.834000000000003</v>
      </c>
      <c r="N24" s="63">
        <f aca="true" t="shared" si="14" ref="N24:Q32">I24-D24</f>
        <v>-5.7292000000000005</v>
      </c>
      <c r="O24" s="63">
        <f t="shared" si="14"/>
        <v>6.9388000000000005</v>
      </c>
      <c r="P24" s="63">
        <f t="shared" si="14"/>
        <v>6.624400000000001</v>
      </c>
      <c r="Q24" s="63">
        <f t="shared" si="14"/>
        <v>0</v>
      </c>
      <c r="R24" s="63">
        <v>36.159</v>
      </c>
      <c r="S24" s="56">
        <f>R24*0.15</f>
        <v>5.42385</v>
      </c>
      <c r="T24" s="56">
        <v>13.498</v>
      </c>
      <c r="U24" s="56">
        <v>17.237</v>
      </c>
      <c r="V24" s="56"/>
      <c r="W24" s="57"/>
      <c r="X24" s="57"/>
      <c r="Y24" s="58"/>
      <c r="Z24" s="58"/>
      <c r="AA24" s="57"/>
      <c r="AB24" s="57"/>
      <c r="AC24" s="57"/>
      <c r="AD24" s="59" t="s">
        <v>218</v>
      </c>
      <c r="AE24" s="58"/>
      <c r="AF24" s="57"/>
      <c r="AG24" s="57"/>
      <c r="AH24" s="60" t="s">
        <v>218</v>
      </c>
      <c r="AI24" s="60" t="s">
        <v>218</v>
      </c>
      <c r="AJ24" s="58"/>
      <c r="AK24" s="60" t="s">
        <v>218</v>
      </c>
      <c r="AL24" s="61" t="s">
        <v>218</v>
      </c>
    </row>
    <row r="25" spans="1:38" ht="39" customHeight="1">
      <c r="A25" s="62" t="s">
        <v>68</v>
      </c>
      <c r="B25" s="48" t="s">
        <v>69</v>
      </c>
      <c r="C25" s="5">
        <v>16.929</v>
      </c>
      <c r="D25" s="56">
        <f>C25*0.2</f>
        <v>3.3857999999999997</v>
      </c>
      <c r="E25" s="56">
        <f>C25*0.2</f>
        <v>3.3857999999999997</v>
      </c>
      <c r="F25" s="56">
        <f>C25*0.6</f>
        <v>10.157399999999999</v>
      </c>
      <c r="G25" s="56"/>
      <c r="H25" s="63">
        <f aca="true" t="shared" si="15" ref="H25:H32">I25+J25+K25</f>
        <v>8.796999999999999</v>
      </c>
      <c r="I25" s="56">
        <f>0.736</f>
        <v>0.736</v>
      </c>
      <c r="J25" s="56">
        <f>3.497+2.177</f>
        <v>5.6739999999999995</v>
      </c>
      <c r="K25" s="56">
        <f>0.818+1.569</f>
        <v>2.387</v>
      </c>
      <c r="L25" s="56"/>
      <c r="M25" s="63">
        <f aca="true" t="shared" si="16" ref="M25:M32">H25-C25</f>
        <v>-8.132</v>
      </c>
      <c r="N25" s="63">
        <f t="shared" si="14"/>
        <v>-2.6498</v>
      </c>
      <c r="O25" s="63">
        <f t="shared" si="14"/>
        <v>2.2882</v>
      </c>
      <c r="P25" s="63">
        <f t="shared" si="14"/>
        <v>-7.770399999999999</v>
      </c>
      <c r="Q25" s="63">
        <f t="shared" si="14"/>
        <v>0</v>
      </c>
      <c r="R25" s="63">
        <v>11.867</v>
      </c>
      <c r="S25" s="56">
        <f aca="true" t="shared" si="17" ref="S25:S32">R25*0.15</f>
        <v>1.7800500000000001</v>
      </c>
      <c r="T25" s="56">
        <v>5.674</v>
      </c>
      <c r="U25" s="56">
        <v>4.413</v>
      </c>
      <c r="V25" s="56"/>
      <c r="W25" s="57"/>
      <c r="X25" s="57"/>
      <c r="Y25" s="58"/>
      <c r="Z25" s="58"/>
      <c r="AA25" s="57"/>
      <c r="AB25" s="57"/>
      <c r="AC25" s="57"/>
      <c r="AD25" s="59" t="s">
        <v>218</v>
      </c>
      <c r="AE25" s="58"/>
      <c r="AF25" s="57"/>
      <c r="AG25" s="57"/>
      <c r="AH25" s="60" t="s">
        <v>218</v>
      </c>
      <c r="AI25" s="60" t="s">
        <v>218</v>
      </c>
      <c r="AJ25" s="58"/>
      <c r="AK25" s="60" t="s">
        <v>218</v>
      </c>
      <c r="AL25" s="61" t="s">
        <v>218</v>
      </c>
    </row>
    <row r="26" spans="1:38" ht="50.25" customHeight="1">
      <c r="A26" s="62" t="s">
        <v>70</v>
      </c>
      <c r="B26" s="48" t="s">
        <v>71</v>
      </c>
      <c r="C26" s="5"/>
      <c r="D26" s="56"/>
      <c r="E26" s="56"/>
      <c r="F26" s="56"/>
      <c r="G26" s="56"/>
      <c r="H26" s="63">
        <v>1.768</v>
      </c>
      <c r="I26" s="56">
        <f>H26*0.2</f>
        <v>0.3536</v>
      </c>
      <c r="J26" s="56">
        <f>H26*0.2</f>
        <v>0.3536</v>
      </c>
      <c r="K26" s="56">
        <f>H26*0.6</f>
        <v>1.0608</v>
      </c>
      <c r="L26" s="56"/>
      <c r="M26" s="63">
        <f t="shared" si="16"/>
        <v>1.768</v>
      </c>
      <c r="N26" s="63">
        <f t="shared" si="14"/>
        <v>0.3536</v>
      </c>
      <c r="O26" s="63">
        <f t="shared" si="14"/>
        <v>0.3536</v>
      </c>
      <c r="P26" s="63">
        <f t="shared" si="14"/>
        <v>1.0608</v>
      </c>
      <c r="Q26" s="63">
        <f t="shared" si="14"/>
        <v>0</v>
      </c>
      <c r="R26" s="63">
        <v>2.845</v>
      </c>
      <c r="S26" s="56">
        <f t="shared" si="17"/>
        <v>0.42675</v>
      </c>
      <c r="T26" s="56">
        <f>R26*0.25</f>
        <v>0.71125</v>
      </c>
      <c r="U26" s="56">
        <f>R26*0.6</f>
        <v>1.707</v>
      </c>
      <c r="V26" s="56"/>
      <c r="W26" s="57"/>
      <c r="X26" s="57"/>
      <c r="Y26" s="58"/>
      <c r="Z26" s="58"/>
      <c r="AA26" s="57"/>
      <c r="AB26" s="57"/>
      <c r="AC26" s="57"/>
      <c r="AD26" s="59" t="s">
        <v>218</v>
      </c>
      <c r="AE26" s="58"/>
      <c r="AF26" s="57"/>
      <c r="AG26" s="57"/>
      <c r="AH26" s="60" t="s">
        <v>218</v>
      </c>
      <c r="AI26" s="60" t="s">
        <v>218</v>
      </c>
      <c r="AJ26" s="58"/>
      <c r="AK26" s="60" t="s">
        <v>218</v>
      </c>
      <c r="AL26" s="61" t="s">
        <v>218</v>
      </c>
    </row>
    <row r="27" spans="1:38" ht="39" customHeight="1">
      <c r="A27" s="62" t="s">
        <v>72</v>
      </c>
      <c r="B27" s="48" t="s">
        <v>73</v>
      </c>
      <c r="C27" s="5">
        <v>1.215</v>
      </c>
      <c r="D27" s="56">
        <f>C27*0.2</f>
        <v>0.24300000000000002</v>
      </c>
      <c r="E27" s="56">
        <f>C27*0.2</f>
        <v>0.24300000000000002</v>
      </c>
      <c r="F27" s="56">
        <f>C27*0.6</f>
        <v>0.729</v>
      </c>
      <c r="G27" s="56"/>
      <c r="H27" s="63">
        <f t="shared" si="15"/>
        <v>6.214</v>
      </c>
      <c r="I27" s="56">
        <f>1.601</f>
        <v>1.601</v>
      </c>
      <c r="J27" s="56"/>
      <c r="K27" s="56">
        <v>4.613</v>
      </c>
      <c r="L27" s="56"/>
      <c r="M27" s="63">
        <f t="shared" si="16"/>
        <v>4.9990000000000006</v>
      </c>
      <c r="N27" s="63">
        <f t="shared" si="14"/>
        <v>1.3579999999999999</v>
      </c>
      <c r="O27" s="63">
        <f t="shared" si="14"/>
        <v>-0.24300000000000002</v>
      </c>
      <c r="P27" s="63">
        <f t="shared" si="14"/>
        <v>3.8840000000000003</v>
      </c>
      <c r="Q27" s="63">
        <f t="shared" si="14"/>
        <v>0</v>
      </c>
      <c r="R27" s="63">
        <v>6.502</v>
      </c>
      <c r="S27" s="56">
        <f t="shared" si="17"/>
        <v>0.9753</v>
      </c>
      <c r="T27" s="56"/>
      <c r="U27" s="56">
        <v>5.527</v>
      </c>
      <c r="V27" s="56"/>
      <c r="W27" s="57"/>
      <c r="X27" s="57"/>
      <c r="Y27" s="58"/>
      <c r="Z27" s="58"/>
      <c r="AA27" s="57"/>
      <c r="AB27" s="57"/>
      <c r="AC27" s="57"/>
      <c r="AD27" s="59" t="s">
        <v>218</v>
      </c>
      <c r="AE27" s="58"/>
      <c r="AF27" s="57"/>
      <c r="AG27" s="57"/>
      <c r="AH27" s="60" t="s">
        <v>218</v>
      </c>
      <c r="AI27" s="60" t="s">
        <v>218</v>
      </c>
      <c r="AJ27" s="58"/>
      <c r="AK27" s="60" t="s">
        <v>218</v>
      </c>
      <c r="AL27" s="61" t="s">
        <v>218</v>
      </c>
    </row>
    <row r="28" spans="1:38" ht="51.75" customHeight="1">
      <c r="A28" s="62" t="s">
        <v>74</v>
      </c>
      <c r="B28" s="48" t="s">
        <v>75</v>
      </c>
      <c r="C28" s="5">
        <v>2.227</v>
      </c>
      <c r="D28" s="56">
        <f>C28*0.2</f>
        <v>0.4454</v>
      </c>
      <c r="E28" s="56">
        <f>C28*0.2</f>
        <v>0.4454</v>
      </c>
      <c r="F28" s="56">
        <f>C28*0.6</f>
        <v>1.3361999999999998</v>
      </c>
      <c r="G28" s="56"/>
      <c r="H28" s="63">
        <f t="shared" si="15"/>
        <v>5.724</v>
      </c>
      <c r="I28" s="56">
        <v>1.601</v>
      </c>
      <c r="J28" s="56"/>
      <c r="K28" s="56">
        <v>4.123</v>
      </c>
      <c r="L28" s="56"/>
      <c r="M28" s="63">
        <f t="shared" si="16"/>
        <v>3.4970000000000003</v>
      </c>
      <c r="N28" s="63">
        <f t="shared" si="14"/>
        <v>1.1556</v>
      </c>
      <c r="O28" s="63">
        <f t="shared" si="14"/>
        <v>-0.4454</v>
      </c>
      <c r="P28" s="63">
        <f t="shared" si="14"/>
        <v>2.7868000000000004</v>
      </c>
      <c r="Q28" s="63">
        <f t="shared" si="14"/>
        <v>0</v>
      </c>
      <c r="R28" s="63">
        <v>4.537</v>
      </c>
      <c r="S28" s="56">
        <f t="shared" si="17"/>
        <v>0.68055</v>
      </c>
      <c r="T28" s="56"/>
      <c r="U28" s="56">
        <v>3.856</v>
      </c>
      <c r="V28" s="56"/>
      <c r="W28" s="57"/>
      <c r="X28" s="57"/>
      <c r="Y28" s="58"/>
      <c r="Z28" s="58"/>
      <c r="AA28" s="57"/>
      <c r="AB28" s="57"/>
      <c r="AC28" s="57"/>
      <c r="AD28" s="59" t="s">
        <v>218</v>
      </c>
      <c r="AE28" s="58"/>
      <c r="AF28" s="57"/>
      <c r="AG28" s="57"/>
      <c r="AH28" s="60" t="s">
        <v>218</v>
      </c>
      <c r="AI28" s="60" t="s">
        <v>218</v>
      </c>
      <c r="AJ28" s="58"/>
      <c r="AK28" s="60" t="s">
        <v>218</v>
      </c>
      <c r="AL28" s="61" t="s">
        <v>218</v>
      </c>
    </row>
    <row r="29" spans="1:38" ht="54" customHeight="1">
      <c r="A29" s="62" t="s">
        <v>76</v>
      </c>
      <c r="B29" s="48" t="s">
        <v>81</v>
      </c>
      <c r="C29" s="5">
        <v>0.395</v>
      </c>
      <c r="D29" s="56"/>
      <c r="E29" s="56">
        <f>C29*0.4</f>
        <v>0.15800000000000003</v>
      </c>
      <c r="F29" s="56">
        <f>C29*0.6</f>
        <v>0.237</v>
      </c>
      <c r="G29" s="56"/>
      <c r="H29" s="63">
        <f t="shared" si="15"/>
        <v>0.298</v>
      </c>
      <c r="I29" s="56"/>
      <c r="J29" s="56">
        <f>0.298</f>
        <v>0.298</v>
      </c>
      <c r="K29" s="56"/>
      <c r="L29" s="56"/>
      <c r="M29" s="63">
        <f t="shared" si="16"/>
        <v>-0.09700000000000003</v>
      </c>
      <c r="N29" s="63">
        <f t="shared" si="14"/>
        <v>0</v>
      </c>
      <c r="O29" s="63">
        <f t="shared" si="14"/>
        <v>0.13999999999999996</v>
      </c>
      <c r="P29" s="63">
        <f t="shared" si="14"/>
        <v>-0.237</v>
      </c>
      <c r="Q29" s="63">
        <f t="shared" si="14"/>
        <v>0</v>
      </c>
      <c r="R29" s="63">
        <v>0.3</v>
      </c>
      <c r="S29" s="56"/>
      <c r="T29" s="56">
        <v>0.3</v>
      </c>
      <c r="U29" s="56"/>
      <c r="V29" s="56"/>
      <c r="W29" s="57"/>
      <c r="X29" s="57"/>
      <c r="Y29" s="58"/>
      <c r="Z29" s="58"/>
      <c r="AA29" s="57"/>
      <c r="AB29" s="57"/>
      <c r="AC29" s="57"/>
      <c r="AD29" s="59" t="s">
        <v>218</v>
      </c>
      <c r="AE29" s="58"/>
      <c r="AF29" s="57"/>
      <c r="AG29" s="57"/>
      <c r="AH29" s="60" t="s">
        <v>218</v>
      </c>
      <c r="AI29" s="60" t="s">
        <v>218</v>
      </c>
      <c r="AJ29" s="58"/>
      <c r="AK29" s="60" t="s">
        <v>218</v>
      </c>
      <c r="AL29" s="61" t="s">
        <v>218</v>
      </c>
    </row>
    <row r="30" spans="1:38" ht="50.25" customHeight="1">
      <c r="A30" s="62" t="s">
        <v>78</v>
      </c>
      <c r="B30" s="48" t="s">
        <v>83</v>
      </c>
      <c r="C30" s="5"/>
      <c r="D30" s="56"/>
      <c r="E30" s="56"/>
      <c r="F30" s="56"/>
      <c r="G30" s="56"/>
      <c r="H30" s="63">
        <f t="shared" si="15"/>
        <v>6.281000000000001</v>
      </c>
      <c r="I30" s="56"/>
      <c r="J30" s="56">
        <f>2.217</f>
        <v>2.217</v>
      </c>
      <c r="K30" s="56">
        <f>2.502+1.562</f>
        <v>4.064</v>
      </c>
      <c r="L30" s="56"/>
      <c r="M30" s="63">
        <f t="shared" si="16"/>
        <v>6.281000000000001</v>
      </c>
      <c r="N30" s="63">
        <f t="shared" si="14"/>
        <v>0</v>
      </c>
      <c r="O30" s="63">
        <f t="shared" si="14"/>
        <v>2.217</v>
      </c>
      <c r="P30" s="63">
        <f t="shared" si="14"/>
        <v>4.064</v>
      </c>
      <c r="Q30" s="63">
        <f t="shared" si="14"/>
        <v>0</v>
      </c>
      <c r="R30" s="63">
        <v>7.952</v>
      </c>
      <c r="S30" s="56">
        <f t="shared" si="17"/>
        <v>1.1927999999999999</v>
      </c>
      <c r="T30" s="56">
        <v>2.217</v>
      </c>
      <c r="U30" s="56">
        <v>4.542</v>
      </c>
      <c r="V30" s="56"/>
      <c r="W30" s="57"/>
      <c r="X30" s="57"/>
      <c r="Y30" s="58"/>
      <c r="Z30" s="58"/>
      <c r="AA30" s="57"/>
      <c r="AB30" s="57"/>
      <c r="AC30" s="57"/>
      <c r="AD30" s="59" t="s">
        <v>218</v>
      </c>
      <c r="AE30" s="58"/>
      <c r="AF30" s="57"/>
      <c r="AG30" s="57"/>
      <c r="AH30" s="60" t="s">
        <v>218</v>
      </c>
      <c r="AI30" s="60" t="s">
        <v>218</v>
      </c>
      <c r="AJ30" s="58"/>
      <c r="AK30" s="60" t="s">
        <v>218</v>
      </c>
      <c r="AL30" s="61" t="s">
        <v>218</v>
      </c>
    </row>
    <row r="31" spans="1:38" ht="48.75" customHeight="1">
      <c r="A31" s="62" t="s">
        <v>80</v>
      </c>
      <c r="B31" s="48" t="s">
        <v>85</v>
      </c>
      <c r="C31" s="5"/>
      <c r="D31" s="56"/>
      <c r="E31" s="56"/>
      <c r="F31" s="56"/>
      <c r="G31" s="56"/>
      <c r="H31" s="63">
        <f t="shared" si="15"/>
        <v>1.641</v>
      </c>
      <c r="I31" s="56">
        <f>0.323</f>
        <v>0.323</v>
      </c>
      <c r="J31" s="56">
        <f>0.015+0.306</f>
        <v>0.321</v>
      </c>
      <c r="K31" s="56">
        <v>0.997</v>
      </c>
      <c r="L31" s="56"/>
      <c r="M31" s="63">
        <f t="shared" si="16"/>
        <v>1.641</v>
      </c>
      <c r="N31" s="63">
        <f t="shared" si="14"/>
        <v>0.323</v>
      </c>
      <c r="O31" s="63">
        <f t="shared" si="14"/>
        <v>0.321</v>
      </c>
      <c r="P31" s="63">
        <f t="shared" si="14"/>
        <v>0.997</v>
      </c>
      <c r="Q31" s="63">
        <f t="shared" si="14"/>
        <v>0</v>
      </c>
      <c r="R31" s="63">
        <v>1.687</v>
      </c>
      <c r="S31" s="56">
        <f t="shared" si="17"/>
        <v>0.25305</v>
      </c>
      <c r="T31" s="56">
        <f>R31*0.25</f>
        <v>0.42175</v>
      </c>
      <c r="U31" s="56">
        <f>R31*0.6</f>
        <v>1.0122</v>
      </c>
      <c r="V31" s="56"/>
      <c r="W31" s="57"/>
      <c r="X31" s="57"/>
      <c r="Y31" s="58"/>
      <c r="Z31" s="58"/>
      <c r="AA31" s="57"/>
      <c r="AB31" s="57"/>
      <c r="AC31" s="57"/>
      <c r="AD31" s="59" t="s">
        <v>218</v>
      </c>
      <c r="AE31" s="58"/>
      <c r="AF31" s="57"/>
      <c r="AG31" s="57"/>
      <c r="AH31" s="60" t="s">
        <v>218</v>
      </c>
      <c r="AI31" s="60" t="s">
        <v>218</v>
      </c>
      <c r="AJ31" s="58"/>
      <c r="AK31" s="60" t="s">
        <v>218</v>
      </c>
      <c r="AL31" s="61" t="s">
        <v>218</v>
      </c>
    </row>
    <row r="32" spans="1:38" ht="45" customHeight="1">
      <c r="A32" s="62" t="s">
        <v>82</v>
      </c>
      <c r="B32" s="48" t="s">
        <v>87</v>
      </c>
      <c r="C32" s="5"/>
      <c r="D32" s="56"/>
      <c r="E32" s="56"/>
      <c r="F32" s="56"/>
      <c r="G32" s="56"/>
      <c r="H32" s="63">
        <f t="shared" si="15"/>
        <v>3.8329999999999997</v>
      </c>
      <c r="I32" s="56"/>
      <c r="J32" s="56">
        <f>1.331</f>
        <v>1.331</v>
      </c>
      <c r="K32" s="56">
        <f>2.502</f>
        <v>2.502</v>
      </c>
      <c r="L32" s="56"/>
      <c r="M32" s="63">
        <f t="shared" si="16"/>
        <v>3.8329999999999997</v>
      </c>
      <c r="N32" s="63">
        <f t="shared" si="14"/>
        <v>0</v>
      </c>
      <c r="O32" s="63">
        <f t="shared" si="14"/>
        <v>1.331</v>
      </c>
      <c r="P32" s="63">
        <f t="shared" si="14"/>
        <v>2.502</v>
      </c>
      <c r="Q32" s="63">
        <f t="shared" si="14"/>
        <v>0</v>
      </c>
      <c r="R32" s="63">
        <v>5.21</v>
      </c>
      <c r="S32" s="56">
        <f t="shared" si="17"/>
        <v>0.7815</v>
      </c>
      <c r="T32" s="56">
        <v>1.331</v>
      </c>
      <c r="U32" s="56">
        <v>3.097</v>
      </c>
      <c r="V32" s="56"/>
      <c r="W32" s="57"/>
      <c r="X32" s="57"/>
      <c r="Y32" s="58"/>
      <c r="Z32" s="58"/>
      <c r="AA32" s="57"/>
      <c r="AB32" s="57"/>
      <c r="AC32" s="57"/>
      <c r="AD32" s="59" t="s">
        <v>218</v>
      </c>
      <c r="AE32" s="58"/>
      <c r="AF32" s="57"/>
      <c r="AG32" s="57"/>
      <c r="AH32" s="60" t="s">
        <v>218</v>
      </c>
      <c r="AI32" s="60" t="s">
        <v>218</v>
      </c>
      <c r="AJ32" s="58"/>
      <c r="AK32" s="60" t="s">
        <v>218</v>
      </c>
      <c r="AL32" s="61" t="s">
        <v>218</v>
      </c>
    </row>
    <row r="33" spans="1:38" s="99" customFormat="1" ht="35.25" customHeight="1">
      <c r="A33" s="65" t="s">
        <v>88</v>
      </c>
      <c r="B33" s="66" t="s">
        <v>89</v>
      </c>
      <c r="C33" s="67">
        <f>C34</f>
        <v>15.186</v>
      </c>
      <c r="D33" s="67">
        <f aca="true" t="shared" si="18" ref="D33:U33">D34</f>
        <v>1.5186000000000002</v>
      </c>
      <c r="E33" s="67">
        <f t="shared" si="18"/>
        <v>4.5558</v>
      </c>
      <c r="F33" s="67">
        <f t="shared" si="18"/>
        <v>9.1116</v>
      </c>
      <c r="G33" s="67">
        <f t="shared" si="18"/>
        <v>0</v>
      </c>
      <c r="H33" s="67">
        <f t="shared" si="18"/>
        <v>14.159</v>
      </c>
      <c r="I33" s="67">
        <f t="shared" si="18"/>
        <v>1.416</v>
      </c>
      <c r="J33" s="67">
        <f t="shared" si="18"/>
        <v>4.248</v>
      </c>
      <c r="K33" s="67">
        <f t="shared" si="18"/>
        <v>8.495</v>
      </c>
      <c r="L33" s="67">
        <f t="shared" si="18"/>
        <v>0</v>
      </c>
      <c r="M33" s="67">
        <f t="shared" si="18"/>
        <v>-1.0269999999999992</v>
      </c>
      <c r="N33" s="67">
        <f t="shared" si="18"/>
        <v>-0.10260000000000025</v>
      </c>
      <c r="O33" s="67">
        <f t="shared" si="18"/>
        <v>-0.3077999999999994</v>
      </c>
      <c r="P33" s="67">
        <f t="shared" si="18"/>
        <v>-0.6166</v>
      </c>
      <c r="Q33" s="67">
        <f t="shared" si="18"/>
        <v>0</v>
      </c>
      <c r="R33" s="67">
        <f t="shared" si="18"/>
        <v>14.783999999999999</v>
      </c>
      <c r="S33" s="67">
        <f t="shared" si="18"/>
        <v>1.416</v>
      </c>
      <c r="T33" s="67">
        <f t="shared" si="18"/>
        <v>4.873</v>
      </c>
      <c r="U33" s="67">
        <f t="shared" si="18"/>
        <v>8.495</v>
      </c>
      <c r="V33" s="67">
        <f aca="true" t="shared" si="19" ref="V33:AL33">V34</f>
        <v>0</v>
      </c>
      <c r="W33" s="67">
        <f t="shared" si="19"/>
        <v>0</v>
      </c>
      <c r="X33" s="67">
        <f t="shared" si="19"/>
        <v>0</v>
      </c>
      <c r="Y33" s="67">
        <f t="shared" si="19"/>
        <v>0</v>
      </c>
      <c r="Z33" s="67">
        <f t="shared" si="19"/>
        <v>0</v>
      </c>
      <c r="AA33" s="67">
        <f t="shared" si="19"/>
        <v>0</v>
      </c>
      <c r="AB33" s="67">
        <f t="shared" si="19"/>
        <v>0</v>
      </c>
      <c r="AC33" s="67">
        <f t="shared" si="19"/>
        <v>0</v>
      </c>
      <c r="AD33" s="67">
        <f t="shared" si="19"/>
      </c>
      <c r="AE33" s="67">
        <f t="shared" si="19"/>
        <v>0</v>
      </c>
      <c r="AF33" s="67">
        <f t="shared" si="19"/>
        <v>0</v>
      </c>
      <c r="AG33" s="67">
        <f t="shared" si="19"/>
        <v>0</v>
      </c>
      <c r="AH33" s="67">
        <f t="shared" si="19"/>
      </c>
      <c r="AI33" s="67">
        <f t="shared" si="19"/>
      </c>
      <c r="AJ33" s="67">
        <f t="shared" si="19"/>
        <v>0</v>
      </c>
      <c r="AK33" s="67">
        <f t="shared" si="19"/>
      </c>
      <c r="AL33" s="67">
        <f t="shared" si="19"/>
      </c>
    </row>
    <row r="34" spans="1:38" s="64" customFormat="1" ht="66" customHeight="1">
      <c r="A34" s="62" t="s">
        <v>90</v>
      </c>
      <c r="B34" s="48" t="s">
        <v>91</v>
      </c>
      <c r="C34" s="5">
        <v>15.186</v>
      </c>
      <c r="D34" s="56">
        <f>C34*0.1</f>
        <v>1.5186000000000002</v>
      </c>
      <c r="E34" s="56">
        <f>C34*0.3</f>
        <v>4.5558</v>
      </c>
      <c r="F34" s="56">
        <f>C34*0.6</f>
        <v>9.1116</v>
      </c>
      <c r="G34" s="56"/>
      <c r="H34" s="63">
        <v>14.159</v>
      </c>
      <c r="I34" s="56">
        <v>1.416</v>
      </c>
      <c r="J34" s="56">
        <v>4.248</v>
      </c>
      <c r="K34" s="56">
        <v>8.495</v>
      </c>
      <c r="L34" s="56"/>
      <c r="M34" s="63">
        <f>H34-C34</f>
        <v>-1.0269999999999992</v>
      </c>
      <c r="N34" s="63">
        <f>I34-D34</f>
        <v>-0.10260000000000025</v>
      </c>
      <c r="O34" s="63">
        <f>J34-E34</f>
        <v>-0.3077999999999994</v>
      </c>
      <c r="P34" s="63">
        <f>K34-F34</f>
        <v>-0.6166</v>
      </c>
      <c r="Q34" s="63">
        <f>L34-G34</f>
        <v>0</v>
      </c>
      <c r="R34" s="63">
        <f>SUM(S34:V34)</f>
        <v>14.783999999999999</v>
      </c>
      <c r="S34" s="56">
        <v>1.416</v>
      </c>
      <c r="T34" s="56">
        <v>4.873</v>
      </c>
      <c r="U34" s="56">
        <v>8.495</v>
      </c>
      <c r="V34" s="56"/>
      <c r="W34" s="57"/>
      <c r="X34" s="57"/>
      <c r="Y34" s="58"/>
      <c r="Z34" s="58"/>
      <c r="AA34" s="57"/>
      <c r="AB34" s="57"/>
      <c r="AC34" s="57"/>
      <c r="AD34" s="59" t="s">
        <v>218</v>
      </c>
      <c r="AE34" s="58"/>
      <c r="AF34" s="57"/>
      <c r="AG34" s="57"/>
      <c r="AH34" s="60" t="s">
        <v>218</v>
      </c>
      <c r="AI34" s="60" t="s">
        <v>218</v>
      </c>
      <c r="AJ34" s="58"/>
      <c r="AK34" s="60" t="s">
        <v>218</v>
      </c>
      <c r="AL34" s="61" t="s">
        <v>218</v>
      </c>
    </row>
    <row r="35" spans="1:38" s="99" customFormat="1" ht="75" customHeight="1">
      <c r="A35" s="65" t="s">
        <v>92</v>
      </c>
      <c r="B35" s="66" t="s">
        <v>93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8"/>
      <c r="J35" s="68"/>
      <c r="K35" s="68"/>
      <c r="L35" s="68"/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8"/>
      <c r="T35" s="68"/>
      <c r="U35" s="68"/>
      <c r="V35" s="68"/>
      <c r="W35" s="69"/>
      <c r="X35" s="70"/>
      <c r="Y35" s="71"/>
      <c r="Z35" s="71"/>
      <c r="AA35" s="69"/>
      <c r="AB35" s="70"/>
      <c r="AC35" s="70"/>
      <c r="AD35" s="72"/>
      <c r="AE35" s="71"/>
      <c r="AF35" s="69"/>
      <c r="AG35" s="70"/>
      <c r="AH35" s="60"/>
      <c r="AI35" s="60"/>
      <c r="AJ35" s="71"/>
      <c r="AK35" s="60"/>
      <c r="AL35" s="61"/>
    </row>
    <row r="36" spans="1:38" s="99" customFormat="1" ht="15.75">
      <c r="A36" s="65" t="s">
        <v>94</v>
      </c>
      <c r="B36" s="66" t="s">
        <v>95</v>
      </c>
      <c r="C36" s="67">
        <f>SUM(C37:C39)</f>
        <v>19.087</v>
      </c>
      <c r="D36" s="67">
        <f aca="true" t="shared" si="20" ref="D36:U36">SUM(D37:D39)</f>
        <v>1.4174</v>
      </c>
      <c r="E36" s="67">
        <f t="shared" si="20"/>
        <v>2.6004</v>
      </c>
      <c r="F36" s="67">
        <f t="shared" si="20"/>
        <v>16.2522</v>
      </c>
      <c r="G36" s="67">
        <f t="shared" si="20"/>
        <v>0</v>
      </c>
      <c r="H36" s="67">
        <f t="shared" si="20"/>
        <v>45.062000000000005</v>
      </c>
      <c r="I36" s="67">
        <f t="shared" si="20"/>
        <v>0.495</v>
      </c>
      <c r="J36" s="67">
        <f t="shared" si="20"/>
        <v>1.572</v>
      </c>
      <c r="K36" s="67">
        <f t="shared" si="20"/>
        <v>42.995000000000005</v>
      </c>
      <c r="L36" s="67"/>
      <c r="M36" s="67">
        <f t="shared" si="20"/>
        <v>15.026</v>
      </c>
      <c r="N36" s="67">
        <f t="shared" si="20"/>
        <v>0.481</v>
      </c>
      <c r="O36" s="67">
        <f t="shared" si="20"/>
        <v>3.798</v>
      </c>
      <c r="P36" s="67">
        <f t="shared" si="20"/>
        <v>10.747</v>
      </c>
      <c r="Q36" s="67">
        <f t="shared" si="20"/>
        <v>0</v>
      </c>
      <c r="R36" s="67">
        <f t="shared" si="20"/>
        <v>40.986</v>
      </c>
      <c r="S36" s="67">
        <f t="shared" si="20"/>
        <v>0.495</v>
      </c>
      <c r="T36" s="67">
        <f t="shared" si="20"/>
        <v>1.6189999999999998</v>
      </c>
      <c r="U36" s="67">
        <f t="shared" si="20"/>
        <v>38.872</v>
      </c>
      <c r="V36" s="67">
        <f aca="true" t="shared" si="21" ref="V36:AL36">SUM(V37:V39)</f>
        <v>0</v>
      </c>
      <c r="W36" s="67">
        <f t="shared" si="21"/>
        <v>0</v>
      </c>
      <c r="X36" s="67">
        <f t="shared" si="21"/>
        <v>0</v>
      </c>
      <c r="Y36" s="67">
        <f t="shared" si="21"/>
        <v>0</v>
      </c>
      <c r="Z36" s="67">
        <f t="shared" si="21"/>
        <v>0</v>
      </c>
      <c r="AA36" s="67">
        <f t="shared" si="21"/>
        <v>0</v>
      </c>
      <c r="AB36" s="67">
        <f t="shared" si="21"/>
        <v>0</v>
      </c>
      <c r="AC36" s="67">
        <f t="shared" si="21"/>
        <v>0</v>
      </c>
      <c r="AD36" s="67">
        <f t="shared" si="21"/>
        <v>0</v>
      </c>
      <c r="AE36" s="67">
        <f t="shared" si="21"/>
        <v>0</v>
      </c>
      <c r="AF36" s="67">
        <f t="shared" si="21"/>
        <v>0</v>
      </c>
      <c r="AG36" s="67">
        <f t="shared" si="21"/>
        <v>0</v>
      </c>
      <c r="AH36" s="67">
        <f t="shared" si="21"/>
        <v>0</v>
      </c>
      <c r="AI36" s="67">
        <f t="shared" si="21"/>
        <v>0</v>
      </c>
      <c r="AJ36" s="67">
        <f t="shared" si="21"/>
        <v>0</v>
      </c>
      <c r="AK36" s="67">
        <f t="shared" si="21"/>
        <v>0</v>
      </c>
      <c r="AL36" s="67">
        <f t="shared" si="21"/>
        <v>0</v>
      </c>
    </row>
    <row r="37" spans="1:38" s="64" customFormat="1" ht="51.75" customHeight="1">
      <c r="A37" s="62" t="s">
        <v>96</v>
      </c>
      <c r="B37" s="48" t="s">
        <v>97</v>
      </c>
      <c r="C37" s="63">
        <v>12</v>
      </c>
      <c r="D37" s="56"/>
      <c r="E37" s="56"/>
      <c r="F37" s="56">
        <v>12</v>
      </c>
      <c r="G37" s="56"/>
      <c r="H37" s="63">
        <v>39.328</v>
      </c>
      <c r="I37" s="56"/>
      <c r="J37" s="56"/>
      <c r="K37" s="56">
        <v>39.328</v>
      </c>
      <c r="L37" s="56"/>
      <c r="M37" s="63">
        <v>10.747</v>
      </c>
      <c r="N37" s="63">
        <v>0</v>
      </c>
      <c r="O37" s="63">
        <v>0</v>
      </c>
      <c r="P37" s="63">
        <v>10.747</v>
      </c>
      <c r="Q37" s="63">
        <v>0</v>
      </c>
      <c r="R37" s="63">
        <f>SUM(S37:V37)</f>
        <v>35.205</v>
      </c>
      <c r="S37" s="56"/>
      <c r="T37" s="56"/>
      <c r="U37" s="56">
        <v>35.205</v>
      </c>
      <c r="V37" s="56"/>
      <c r="W37" s="57"/>
      <c r="X37" s="57"/>
      <c r="Y37" s="58"/>
      <c r="Z37" s="58"/>
      <c r="AA37" s="57"/>
      <c r="AB37" s="57"/>
      <c r="AC37" s="57"/>
      <c r="AD37" s="59" t="s">
        <v>218</v>
      </c>
      <c r="AE37" s="58"/>
      <c r="AF37" s="57"/>
      <c r="AG37" s="57"/>
      <c r="AH37" s="60" t="s">
        <v>218</v>
      </c>
      <c r="AI37" s="60" t="s">
        <v>218</v>
      </c>
      <c r="AJ37" s="58"/>
      <c r="AK37" s="60" t="s">
        <v>218</v>
      </c>
      <c r="AL37" s="61" t="s">
        <v>218</v>
      </c>
    </row>
    <row r="38" spans="1:38" s="64" customFormat="1" ht="50.25" customHeight="1">
      <c r="A38" s="62" t="s">
        <v>98</v>
      </c>
      <c r="B38" s="48" t="s">
        <v>99</v>
      </c>
      <c r="C38" s="63">
        <v>7.087</v>
      </c>
      <c r="D38" s="56">
        <f>C38*0.2</f>
        <v>1.4174</v>
      </c>
      <c r="E38" s="56">
        <f>C38*0.2</f>
        <v>1.4174</v>
      </c>
      <c r="F38" s="56">
        <f>C38*0.6</f>
        <v>4.252199999999999</v>
      </c>
      <c r="G38" s="56"/>
      <c r="H38" s="63">
        <v>4.555</v>
      </c>
      <c r="I38" s="56">
        <v>0.495</v>
      </c>
      <c r="J38" s="56">
        <v>1.218</v>
      </c>
      <c r="K38" s="56">
        <v>2.842</v>
      </c>
      <c r="L38" s="56"/>
      <c r="M38" s="63">
        <v>3.1</v>
      </c>
      <c r="N38" s="63">
        <v>0.481</v>
      </c>
      <c r="O38" s="63">
        <v>2.619</v>
      </c>
      <c r="P38" s="63">
        <v>0</v>
      </c>
      <c r="Q38" s="63">
        <v>0</v>
      </c>
      <c r="R38" s="63">
        <f>SUM(S38:V38)</f>
        <v>4.598</v>
      </c>
      <c r="S38" s="56">
        <v>0.495</v>
      </c>
      <c r="T38" s="56">
        <v>1.261</v>
      </c>
      <c r="U38" s="56">
        <v>2.842</v>
      </c>
      <c r="V38" s="56"/>
      <c r="W38" s="57"/>
      <c r="X38" s="57"/>
      <c r="Y38" s="58"/>
      <c r="Z38" s="58"/>
      <c r="AA38" s="57"/>
      <c r="AB38" s="57"/>
      <c r="AC38" s="57"/>
      <c r="AD38" s="59" t="s">
        <v>218</v>
      </c>
      <c r="AE38" s="58"/>
      <c r="AF38" s="57"/>
      <c r="AG38" s="57"/>
      <c r="AH38" s="60" t="s">
        <v>218</v>
      </c>
      <c r="AI38" s="60" t="s">
        <v>218</v>
      </c>
      <c r="AJ38" s="58"/>
      <c r="AK38" s="60" t="s">
        <v>218</v>
      </c>
      <c r="AL38" s="61" t="s">
        <v>218</v>
      </c>
    </row>
    <row r="39" spans="1:38" s="64" customFormat="1" ht="50.25" customHeight="1">
      <c r="A39" s="62" t="s">
        <v>108</v>
      </c>
      <c r="B39" s="48" t="s">
        <v>109</v>
      </c>
      <c r="C39" s="63">
        <v>0</v>
      </c>
      <c r="D39" s="56"/>
      <c r="E39" s="56">
        <v>1.183</v>
      </c>
      <c r="F39" s="56"/>
      <c r="G39" s="56"/>
      <c r="H39" s="63">
        <v>1.179</v>
      </c>
      <c r="I39" s="56"/>
      <c r="J39" s="56">
        <v>0.354</v>
      </c>
      <c r="K39" s="56">
        <v>0.825</v>
      </c>
      <c r="L39" s="56"/>
      <c r="M39" s="63">
        <v>1.179</v>
      </c>
      <c r="N39" s="63">
        <v>0</v>
      </c>
      <c r="O39" s="63">
        <v>1.179</v>
      </c>
      <c r="P39" s="63">
        <v>0</v>
      </c>
      <c r="Q39" s="63">
        <v>0</v>
      </c>
      <c r="R39" s="63">
        <f>SUM(S39:V39)</f>
        <v>1.1829999999999998</v>
      </c>
      <c r="S39" s="56"/>
      <c r="T39" s="56">
        <v>0.358</v>
      </c>
      <c r="U39" s="56">
        <v>0.825</v>
      </c>
      <c r="V39" s="56"/>
      <c r="W39" s="57"/>
      <c r="X39" s="57"/>
      <c r="Y39" s="58"/>
      <c r="Z39" s="58"/>
      <c r="AA39" s="57"/>
      <c r="AB39" s="57"/>
      <c r="AC39" s="57"/>
      <c r="AD39" s="59" t="s">
        <v>218</v>
      </c>
      <c r="AE39" s="58"/>
      <c r="AF39" s="57"/>
      <c r="AG39" s="57"/>
      <c r="AH39" s="60" t="s">
        <v>218</v>
      </c>
      <c r="AI39" s="60" t="s">
        <v>218</v>
      </c>
      <c r="AJ39" s="58"/>
      <c r="AK39" s="60" t="s">
        <v>218</v>
      </c>
      <c r="AL39" s="61" t="s">
        <v>218</v>
      </c>
    </row>
    <row r="40" spans="1:38" s="99" customFormat="1" ht="48.75" customHeight="1">
      <c r="A40" s="73" t="s">
        <v>110</v>
      </c>
      <c r="B40" s="74" t="s">
        <v>111</v>
      </c>
      <c r="C40" s="67">
        <f>C41</f>
        <v>12.16</v>
      </c>
      <c r="D40" s="67">
        <f aca="true" t="shared" si="22" ref="D40:AL40">D41</f>
        <v>0</v>
      </c>
      <c r="E40" s="67">
        <f t="shared" si="22"/>
        <v>4.864000000000001</v>
      </c>
      <c r="F40" s="67">
        <f t="shared" si="22"/>
        <v>7.295999999999999</v>
      </c>
      <c r="G40" s="67">
        <f t="shared" si="22"/>
        <v>0</v>
      </c>
      <c r="H40" s="67">
        <f t="shared" si="22"/>
        <v>0</v>
      </c>
      <c r="I40" s="67">
        <f t="shared" si="22"/>
        <v>0</v>
      </c>
      <c r="J40" s="67">
        <f t="shared" si="22"/>
        <v>0</v>
      </c>
      <c r="K40" s="67">
        <f t="shared" si="22"/>
        <v>0</v>
      </c>
      <c r="L40" s="67">
        <f t="shared" si="22"/>
        <v>0</v>
      </c>
      <c r="M40" s="67">
        <f t="shared" si="22"/>
        <v>0</v>
      </c>
      <c r="N40" s="67">
        <f t="shared" si="22"/>
        <v>0</v>
      </c>
      <c r="O40" s="67">
        <f t="shared" si="22"/>
        <v>0</v>
      </c>
      <c r="P40" s="67">
        <f t="shared" si="22"/>
        <v>0</v>
      </c>
      <c r="Q40" s="67">
        <f t="shared" si="22"/>
        <v>0</v>
      </c>
      <c r="R40" s="67">
        <f t="shared" si="22"/>
        <v>0.281</v>
      </c>
      <c r="S40" s="67">
        <f t="shared" si="22"/>
        <v>0</v>
      </c>
      <c r="T40" s="67">
        <f t="shared" si="22"/>
        <v>0</v>
      </c>
      <c r="U40" s="67">
        <f t="shared" si="22"/>
        <v>0</v>
      </c>
      <c r="V40" s="67">
        <f t="shared" si="22"/>
        <v>0.281</v>
      </c>
      <c r="W40" s="67">
        <f t="shared" si="22"/>
        <v>0</v>
      </c>
      <c r="X40" s="67">
        <f t="shared" si="22"/>
        <v>0</v>
      </c>
      <c r="Y40" s="67">
        <f t="shared" si="22"/>
        <v>0</v>
      </c>
      <c r="Z40" s="67">
        <f t="shared" si="22"/>
        <v>0</v>
      </c>
      <c r="AA40" s="67">
        <f t="shared" si="22"/>
        <v>0</v>
      </c>
      <c r="AB40" s="67">
        <f t="shared" si="22"/>
        <v>0</v>
      </c>
      <c r="AC40" s="67">
        <f t="shared" si="22"/>
        <v>0</v>
      </c>
      <c r="AD40" s="67">
        <f t="shared" si="22"/>
        <v>0</v>
      </c>
      <c r="AE40" s="67">
        <f t="shared" si="22"/>
        <v>0</v>
      </c>
      <c r="AF40" s="67">
        <f t="shared" si="22"/>
        <v>0</v>
      </c>
      <c r="AG40" s="67">
        <f t="shared" si="22"/>
        <v>0</v>
      </c>
      <c r="AH40" s="67">
        <f t="shared" si="22"/>
        <v>0</v>
      </c>
      <c r="AI40" s="67">
        <f t="shared" si="22"/>
        <v>0</v>
      </c>
      <c r="AJ40" s="67">
        <f t="shared" si="22"/>
        <v>0</v>
      </c>
      <c r="AK40" s="67">
        <f t="shared" si="22"/>
        <v>0</v>
      </c>
      <c r="AL40" s="67">
        <f t="shared" si="22"/>
        <v>0</v>
      </c>
    </row>
    <row r="41" spans="1:38" s="99" customFormat="1" ht="60.75" customHeight="1">
      <c r="A41" s="65" t="s">
        <v>112</v>
      </c>
      <c r="B41" s="66" t="s">
        <v>31</v>
      </c>
      <c r="C41" s="67">
        <f>C42</f>
        <v>12.16</v>
      </c>
      <c r="D41" s="67">
        <f aca="true" t="shared" si="23" ref="D41:AL41">D42</f>
        <v>0</v>
      </c>
      <c r="E41" s="67">
        <f t="shared" si="23"/>
        <v>4.864000000000001</v>
      </c>
      <c r="F41" s="67">
        <f t="shared" si="23"/>
        <v>7.295999999999999</v>
      </c>
      <c r="G41" s="67">
        <f t="shared" si="23"/>
        <v>0</v>
      </c>
      <c r="H41" s="67">
        <f t="shared" si="23"/>
        <v>0</v>
      </c>
      <c r="I41" s="67">
        <f t="shared" si="23"/>
        <v>0</v>
      </c>
      <c r="J41" s="67">
        <f t="shared" si="23"/>
        <v>0</v>
      </c>
      <c r="K41" s="67">
        <f t="shared" si="23"/>
        <v>0</v>
      </c>
      <c r="L41" s="67">
        <f t="shared" si="23"/>
        <v>0</v>
      </c>
      <c r="M41" s="67">
        <f t="shared" si="23"/>
        <v>0</v>
      </c>
      <c r="N41" s="67">
        <f t="shared" si="23"/>
        <v>0</v>
      </c>
      <c r="O41" s="67">
        <f t="shared" si="23"/>
        <v>0</v>
      </c>
      <c r="P41" s="67">
        <f t="shared" si="23"/>
        <v>0</v>
      </c>
      <c r="Q41" s="67">
        <f t="shared" si="23"/>
        <v>0</v>
      </c>
      <c r="R41" s="67">
        <f t="shared" si="23"/>
        <v>0.281</v>
      </c>
      <c r="S41" s="67">
        <f t="shared" si="23"/>
        <v>0</v>
      </c>
      <c r="T41" s="67">
        <f t="shared" si="23"/>
        <v>0</v>
      </c>
      <c r="U41" s="67">
        <f t="shared" si="23"/>
        <v>0</v>
      </c>
      <c r="V41" s="67">
        <f t="shared" si="23"/>
        <v>0.281</v>
      </c>
      <c r="W41" s="67">
        <f t="shared" si="23"/>
        <v>0</v>
      </c>
      <c r="X41" s="67">
        <f t="shared" si="23"/>
        <v>0</v>
      </c>
      <c r="Y41" s="67">
        <f t="shared" si="23"/>
        <v>0</v>
      </c>
      <c r="Z41" s="67">
        <f t="shared" si="23"/>
        <v>0</v>
      </c>
      <c r="AA41" s="67">
        <f t="shared" si="23"/>
        <v>0</v>
      </c>
      <c r="AB41" s="67">
        <f t="shared" si="23"/>
        <v>0</v>
      </c>
      <c r="AC41" s="67">
        <f t="shared" si="23"/>
        <v>0</v>
      </c>
      <c r="AD41" s="67">
        <f t="shared" si="23"/>
        <v>0</v>
      </c>
      <c r="AE41" s="67">
        <f t="shared" si="23"/>
        <v>0</v>
      </c>
      <c r="AF41" s="67">
        <f t="shared" si="23"/>
        <v>0</v>
      </c>
      <c r="AG41" s="67">
        <f t="shared" si="23"/>
        <v>0</v>
      </c>
      <c r="AH41" s="67">
        <f t="shared" si="23"/>
        <v>0</v>
      </c>
      <c r="AI41" s="67">
        <f t="shared" si="23"/>
        <v>0</v>
      </c>
      <c r="AJ41" s="67">
        <f t="shared" si="23"/>
        <v>0</v>
      </c>
      <c r="AK41" s="67">
        <f t="shared" si="23"/>
        <v>0</v>
      </c>
      <c r="AL41" s="67">
        <f t="shared" si="23"/>
        <v>0</v>
      </c>
    </row>
    <row r="42" spans="1:38" s="99" customFormat="1" ht="30" customHeight="1">
      <c r="A42" s="65" t="s">
        <v>117</v>
      </c>
      <c r="B42" s="66" t="s">
        <v>118</v>
      </c>
      <c r="C42" s="67">
        <f>C43+C45</f>
        <v>12.16</v>
      </c>
      <c r="D42" s="67">
        <f aca="true" t="shared" si="24" ref="D42:Z42">D43+D45</f>
        <v>0</v>
      </c>
      <c r="E42" s="67">
        <f t="shared" si="24"/>
        <v>4.864000000000001</v>
      </c>
      <c r="F42" s="67">
        <f t="shared" si="24"/>
        <v>7.295999999999999</v>
      </c>
      <c r="G42" s="67">
        <f t="shared" si="24"/>
        <v>0</v>
      </c>
      <c r="H42" s="67">
        <f t="shared" si="24"/>
        <v>0</v>
      </c>
      <c r="I42" s="67">
        <f t="shared" si="24"/>
        <v>0</v>
      </c>
      <c r="J42" s="67">
        <f t="shared" si="24"/>
        <v>0</v>
      </c>
      <c r="K42" s="67">
        <f t="shared" si="24"/>
        <v>0</v>
      </c>
      <c r="L42" s="67">
        <f t="shared" si="24"/>
        <v>0</v>
      </c>
      <c r="M42" s="67">
        <f t="shared" si="24"/>
        <v>0</v>
      </c>
      <c r="N42" s="67">
        <f t="shared" si="24"/>
        <v>0</v>
      </c>
      <c r="O42" s="67">
        <f t="shared" si="24"/>
        <v>0</v>
      </c>
      <c r="P42" s="67">
        <f t="shared" si="24"/>
        <v>0</v>
      </c>
      <c r="Q42" s="67">
        <f t="shared" si="24"/>
        <v>0</v>
      </c>
      <c r="R42" s="67">
        <f t="shared" si="24"/>
        <v>0.281</v>
      </c>
      <c r="S42" s="67">
        <f t="shared" si="24"/>
        <v>0</v>
      </c>
      <c r="T42" s="67">
        <f t="shared" si="24"/>
        <v>0</v>
      </c>
      <c r="U42" s="67">
        <f t="shared" si="24"/>
        <v>0</v>
      </c>
      <c r="V42" s="67">
        <f t="shared" si="24"/>
        <v>0.281</v>
      </c>
      <c r="W42" s="67">
        <f t="shared" si="24"/>
        <v>0</v>
      </c>
      <c r="X42" s="67">
        <f t="shared" si="24"/>
        <v>0</v>
      </c>
      <c r="Y42" s="67">
        <f t="shared" si="24"/>
        <v>0</v>
      </c>
      <c r="Z42" s="67">
        <f t="shared" si="24"/>
        <v>0</v>
      </c>
      <c r="AA42" s="69"/>
      <c r="AB42" s="70"/>
      <c r="AC42" s="70">
        <v>0</v>
      </c>
      <c r="AD42" s="72"/>
      <c r="AE42" s="71">
        <v>0</v>
      </c>
      <c r="AF42" s="69"/>
      <c r="AG42" s="70"/>
      <c r="AH42" s="60"/>
      <c r="AI42" s="60"/>
      <c r="AJ42" s="71">
        <v>0</v>
      </c>
      <c r="AK42" s="60"/>
      <c r="AL42" s="61"/>
    </row>
    <row r="43" spans="1:38" s="64" customFormat="1" ht="71.25" customHeight="1">
      <c r="A43" s="62" t="s">
        <v>119</v>
      </c>
      <c r="B43" s="48" t="s">
        <v>120</v>
      </c>
      <c r="C43" s="63">
        <v>12.16</v>
      </c>
      <c r="D43" s="56"/>
      <c r="E43" s="56">
        <f>C43*0.4</f>
        <v>4.864000000000001</v>
      </c>
      <c r="F43" s="56">
        <f>C43*0.6</f>
        <v>7.295999999999999</v>
      </c>
      <c r="G43" s="56"/>
      <c r="H43" s="63">
        <v>0</v>
      </c>
      <c r="I43" s="56"/>
      <c r="J43" s="56"/>
      <c r="K43" s="56"/>
      <c r="L43" s="56"/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56"/>
      <c r="T43" s="56"/>
      <c r="U43" s="56"/>
      <c r="V43" s="56"/>
      <c r="W43" s="57"/>
      <c r="X43" s="57"/>
      <c r="Y43" s="58"/>
      <c r="Z43" s="58"/>
      <c r="AA43" s="57"/>
      <c r="AB43" s="57"/>
      <c r="AC43" s="57"/>
      <c r="AD43" s="59" t="s">
        <v>218</v>
      </c>
      <c r="AE43" s="58"/>
      <c r="AF43" s="57"/>
      <c r="AG43" s="57"/>
      <c r="AH43" s="60" t="s">
        <v>218</v>
      </c>
      <c r="AI43" s="60" t="s">
        <v>218</v>
      </c>
      <c r="AJ43" s="58"/>
      <c r="AK43" s="60" t="s">
        <v>218</v>
      </c>
      <c r="AL43" s="61" t="s">
        <v>218</v>
      </c>
    </row>
    <row r="44" spans="1:38" s="64" customFormat="1" ht="30.75" customHeight="1">
      <c r="A44" s="62" t="s">
        <v>121</v>
      </c>
      <c r="B44" s="48" t="s">
        <v>122</v>
      </c>
      <c r="C44" s="63">
        <v>0</v>
      </c>
      <c r="D44" s="56"/>
      <c r="E44" s="56"/>
      <c r="F44" s="56"/>
      <c r="G44" s="56"/>
      <c r="H44" s="63">
        <v>0</v>
      </c>
      <c r="I44" s="56"/>
      <c r="J44" s="56"/>
      <c r="K44" s="56"/>
      <c r="L44" s="56"/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56"/>
      <c r="T44" s="56"/>
      <c r="U44" s="56"/>
      <c r="V44" s="56"/>
      <c r="W44" s="57"/>
      <c r="X44" s="57"/>
      <c r="Y44" s="58"/>
      <c r="Z44" s="58"/>
      <c r="AA44" s="57"/>
      <c r="AB44" s="57"/>
      <c r="AC44" s="57"/>
      <c r="AD44" s="59" t="s">
        <v>218</v>
      </c>
      <c r="AE44" s="58"/>
      <c r="AF44" s="57"/>
      <c r="AG44" s="57"/>
      <c r="AH44" s="60" t="s">
        <v>218</v>
      </c>
      <c r="AI44" s="60" t="s">
        <v>218</v>
      </c>
      <c r="AJ44" s="58"/>
      <c r="AK44" s="60" t="s">
        <v>218</v>
      </c>
      <c r="AL44" s="61" t="s">
        <v>218</v>
      </c>
    </row>
    <row r="45" spans="1:38" s="64" customFormat="1" ht="72" customHeight="1">
      <c r="A45" s="62" t="s">
        <v>123</v>
      </c>
      <c r="B45" s="48" t="s">
        <v>124</v>
      </c>
      <c r="C45" s="63">
        <v>0</v>
      </c>
      <c r="D45" s="56"/>
      <c r="E45" s="56"/>
      <c r="F45" s="56"/>
      <c r="G45" s="56"/>
      <c r="H45" s="63">
        <v>0</v>
      </c>
      <c r="I45" s="56"/>
      <c r="J45" s="56"/>
      <c r="K45" s="56"/>
      <c r="L45" s="56"/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f>V45</f>
        <v>0.281</v>
      </c>
      <c r="S45" s="56"/>
      <c r="T45" s="56"/>
      <c r="U45" s="56"/>
      <c r="V45" s="56">
        <v>0.281</v>
      </c>
      <c r="W45" s="57"/>
      <c r="X45" s="57"/>
      <c r="Y45" s="58"/>
      <c r="Z45" s="58"/>
      <c r="AA45" s="57"/>
      <c r="AB45" s="57"/>
      <c r="AC45" s="57"/>
      <c r="AD45" s="59" t="s">
        <v>218</v>
      </c>
      <c r="AE45" s="58"/>
      <c r="AF45" s="57"/>
      <c r="AG45" s="57"/>
      <c r="AH45" s="60" t="s">
        <v>218</v>
      </c>
      <c r="AI45" s="60" t="s">
        <v>218</v>
      </c>
      <c r="AJ45" s="58"/>
      <c r="AK45" s="60" t="s">
        <v>218</v>
      </c>
      <c r="AL45" s="61" t="s">
        <v>218</v>
      </c>
    </row>
    <row r="46" spans="1:38" s="64" customFormat="1" ht="36.75" customHeight="1">
      <c r="A46" s="62" t="s">
        <v>125</v>
      </c>
      <c r="B46" s="48" t="s">
        <v>122</v>
      </c>
      <c r="C46" s="63">
        <v>0</v>
      </c>
      <c r="D46" s="56"/>
      <c r="E46" s="56"/>
      <c r="F46" s="56"/>
      <c r="G46" s="56"/>
      <c r="H46" s="63">
        <v>0</v>
      </c>
      <c r="I46" s="56"/>
      <c r="J46" s="56"/>
      <c r="K46" s="56"/>
      <c r="L46" s="56"/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56"/>
      <c r="T46" s="56"/>
      <c r="U46" s="56"/>
      <c r="V46" s="56"/>
      <c r="W46" s="57"/>
      <c r="X46" s="57"/>
      <c r="Y46" s="58"/>
      <c r="Z46" s="58"/>
      <c r="AA46" s="57"/>
      <c r="AB46" s="57"/>
      <c r="AC46" s="57"/>
      <c r="AD46" s="59" t="s">
        <v>218</v>
      </c>
      <c r="AE46" s="58"/>
      <c r="AF46" s="57"/>
      <c r="AG46" s="57"/>
      <c r="AH46" s="60" t="s">
        <v>218</v>
      </c>
      <c r="AI46" s="60" t="s">
        <v>218</v>
      </c>
      <c r="AJ46" s="58"/>
      <c r="AK46" s="60" t="s">
        <v>218</v>
      </c>
      <c r="AL46" s="61" t="s">
        <v>218</v>
      </c>
    </row>
    <row r="47" spans="1:38" ht="19.5">
      <c r="A47" s="84"/>
      <c r="B47" s="85" t="s">
        <v>126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6"/>
      <c r="X47" s="86"/>
      <c r="Y47" s="86"/>
      <c r="Z47" s="86"/>
      <c r="AA47" s="86"/>
      <c r="AB47" s="86"/>
      <c r="AC47" s="86"/>
      <c r="AD47" s="85"/>
      <c r="AE47" s="86"/>
      <c r="AF47" s="86"/>
      <c r="AG47" s="86"/>
      <c r="AH47" s="85"/>
      <c r="AI47" s="85"/>
      <c r="AJ47" s="86"/>
      <c r="AK47" s="85"/>
      <c r="AL47" s="87"/>
    </row>
    <row r="48" spans="1:38" ht="75.75" customHeight="1" thickBot="1">
      <c r="A48" s="88" t="s">
        <v>127</v>
      </c>
      <c r="B48" s="89" t="s">
        <v>128</v>
      </c>
      <c r="C48" s="90">
        <v>0</v>
      </c>
      <c r="D48" s="91"/>
      <c r="E48" s="91"/>
      <c r="F48" s="91"/>
      <c r="G48" s="91"/>
      <c r="H48" s="90">
        <v>0</v>
      </c>
      <c r="I48" s="91"/>
      <c r="J48" s="91"/>
      <c r="K48" s="91"/>
      <c r="L48" s="91"/>
      <c r="M48" s="90">
        <v>0</v>
      </c>
      <c r="N48" s="90">
        <v>0</v>
      </c>
      <c r="O48" s="90">
        <v>0</v>
      </c>
      <c r="P48" s="90">
        <v>0</v>
      </c>
      <c r="Q48" s="90">
        <v>0</v>
      </c>
      <c r="R48" s="90">
        <v>0</v>
      </c>
      <c r="S48" s="91"/>
      <c r="T48" s="91"/>
      <c r="U48" s="91"/>
      <c r="V48" s="91"/>
      <c r="W48" s="92"/>
      <c r="X48" s="93"/>
      <c r="Y48" s="94"/>
      <c r="Z48" s="94"/>
      <c r="AA48" s="92"/>
      <c r="AB48" s="93"/>
      <c r="AC48" s="93"/>
      <c r="AD48" s="95"/>
      <c r="AE48" s="94"/>
      <c r="AF48" s="92"/>
      <c r="AG48" s="93"/>
      <c r="AH48" s="96"/>
      <c r="AI48" s="96"/>
      <c r="AJ48" s="94"/>
      <c r="AK48" s="96"/>
      <c r="AL48" s="97"/>
    </row>
  </sheetData>
  <sheetProtection/>
  <mergeCells count="12">
    <mergeCell ref="A1:A4"/>
    <mergeCell ref="B1:B4"/>
    <mergeCell ref="C1:G2"/>
    <mergeCell ref="H1:L2"/>
    <mergeCell ref="M1:Q2"/>
    <mergeCell ref="R1:V2"/>
    <mergeCell ref="W1:AK1"/>
    <mergeCell ref="AL1:AL3"/>
    <mergeCell ref="W2:Z2"/>
    <mergeCell ref="AA2:AE2"/>
    <mergeCell ref="AF2:AJ2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view="pageBreakPreview" zoomScale="160" zoomScaleSheetLayoutView="160" zoomScalePageLayoutView="0" workbookViewId="0" topLeftCell="A1">
      <selection activeCell="C30" sqref="C30"/>
    </sheetView>
  </sheetViews>
  <sheetFormatPr defaultColWidth="9.140625" defaultRowHeight="15"/>
  <cols>
    <col min="2" max="2" width="12.140625" style="0" customWidth="1"/>
    <col min="19" max="19" width="16.140625" style="0" customWidth="1"/>
    <col min="20" max="20" width="17.28125" style="0" customWidth="1"/>
  </cols>
  <sheetData>
    <row r="1" spans="23:27" s="10" customFormat="1" ht="15">
      <c r="W1" s="109"/>
      <c r="X1" s="109"/>
      <c r="Y1" s="33" t="s">
        <v>133</v>
      </c>
      <c r="Z1" s="33"/>
      <c r="AA1" s="34"/>
    </row>
    <row r="2" spans="23:27" s="10" customFormat="1" ht="15">
      <c r="W2" s="109"/>
      <c r="X2" s="109"/>
      <c r="Y2" s="33" t="s">
        <v>134</v>
      </c>
      <c r="Z2" s="33"/>
      <c r="AA2" s="34"/>
    </row>
    <row r="3" spans="23:27" s="10" customFormat="1" ht="15">
      <c r="W3" s="109"/>
      <c r="X3" s="109"/>
      <c r="Y3" s="33" t="s">
        <v>135</v>
      </c>
      <c r="Z3" s="33"/>
      <c r="AA3" s="34"/>
    </row>
    <row r="4" spans="1:22" s="10" customFormat="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/>
      <c r="Q4" s="1"/>
      <c r="R4" s="1"/>
      <c r="S4" s="1"/>
      <c r="T4" s="9"/>
      <c r="U4" s="1"/>
      <c r="V4" s="9"/>
    </row>
    <row r="5" s="18" customFormat="1" ht="12" customHeight="1">
      <c r="A5" s="17" t="s">
        <v>159</v>
      </c>
    </row>
    <row r="6" s="18" customFormat="1" ht="4.5" customHeight="1" thickBot="1"/>
    <row r="7" spans="1:27" s="18" customFormat="1" ht="29.25" customHeight="1">
      <c r="A7" s="152" t="s">
        <v>138</v>
      </c>
      <c r="B7" s="152" t="s">
        <v>139</v>
      </c>
      <c r="C7" s="155" t="s">
        <v>140</v>
      </c>
      <c r="D7" s="156"/>
      <c r="E7" s="157"/>
      <c r="F7" s="164" t="s">
        <v>141</v>
      </c>
      <c r="G7" s="165"/>
      <c r="H7" s="165"/>
      <c r="I7" s="165"/>
      <c r="J7" s="165"/>
      <c r="K7" s="166"/>
      <c r="L7" s="164" t="s">
        <v>160</v>
      </c>
      <c r="M7" s="165"/>
      <c r="N7" s="165"/>
      <c r="O7" s="165"/>
      <c r="P7" s="165"/>
      <c r="Q7" s="166"/>
      <c r="R7" s="164" t="s">
        <v>161</v>
      </c>
      <c r="S7" s="165"/>
      <c r="T7" s="165"/>
      <c r="U7" s="165"/>
      <c r="V7" s="165"/>
      <c r="W7" s="166"/>
      <c r="X7" s="164" t="s">
        <v>162</v>
      </c>
      <c r="Y7" s="165"/>
      <c r="Z7" s="165"/>
      <c r="AA7" s="165"/>
    </row>
    <row r="8" spans="1:27" s="18" customFormat="1" ht="10.5">
      <c r="A8" s="153"/>
      <c r="B8" s="153"/>
      <c r="C8" s="158"/>
      <c r="D8" s="159"/>
      <c r="E8" s="160"/>
      <c r="F8" s="125" t="s">
        <v>163</v>
      </c>
      <c r="G8" s="131"/>
      <c r="H8" s="127" t="s">
        <v>164</v>
      </c>
      <c r="I8" s="130"/>
      <c r="J8" s="130"/>
      <c r="K8" s="126"/>
      <c r="L8" s="125" t="s">
        <v>163</v>
      </c>
      <c r="M8" s="131"/>
      <c r="N8" s="127" t="s">
        <v>165</v>
      </c>
      <c r="O8" s="130"/>
      <c r="P8" s="130"/>
      <c r="Q8" s="126"/>
      <c r="R8" s="125" t="s">
        <v>163</v>
      </c>
      <c r="S8" s="131"/>
      <c r="T8" s="127" t="s">
        <v>166</v>
      </c>
      <c r="U8" s="130"/>
      <c r="V8" s="130"/>
      <c r="W8" s="126"/>
      <c r="X8" s="125" t="s">
        <v>163</v>
      </c>
      <c r="Y8" s="131"/>
      <c r="Z8" s="127" t="s">
        <v>164</v>
      </c>
      <c r="AA8" s="131"/>
    </row>
    <row r="9" spans="1:27" s="18" customFormat="1" ht="11.25" thickBot="1">
      <c r="A9" s="154"/>
      <c r="B9" s="154"/>
      <c r="C9" s="161"/>
      <c r="D9" s="162"/>
      <c r="E9" s="163"/>
      <c r="F9" s="19" t="s">
        <v>142</v>
      </c>
      <c r="G9" s="20" t="s">
        <v>143</v>
      </c>
      <c r="H9" s="127" t="s">
        <v>142</v>
      </c>
      <c r="I9" s="131"/>
      <c r="J9" s="127" t="s">
        <v>143</v>
      </c>
      <c r="K9" s="126"/>
      <c r="L9" s="19" t="s">
        <v>144</v>
      </c>
      <c r="M9" s="20" t="s">
        <v>143</v>
      </c>
      <c r="N9" s="127" t="s">
        <v>144</v>
      </c>
      <c r="O9" s="131"/>
      <c r="P9" s="127" t="s">
        <v>143</v>
      </c>
      <c r="Q9" s="126"/>
      <c r="R9" s="19" t="s">
        <v>144</v>
      </c>
      <c r="S9" s="20" t="s">
        <v>143</v>
      </c>
      <c r="T9" s="127" t="s">
        <v>144</v>
      </c>
      <c r="U9" s="131"/>
      <c r="V9" s="127" t="s">
        <v>143</v>
      </c>
      <c r="W9" s="126"/>
      <c r="X9" s="19" t="s">
        <v>145</v>
      </c>
      <c r="Y9" s="20" t="s">
        <v>143</v>
      </c>
      <c r="Z9" s="20" t="s">
        <v>145</v>
      </c>
      <c r="AA9" s="20" t="s">
        <v>143</v>
      </c>
    </row>
    <row r="10" spans="1:27" s="18" customFormat="1" ht="9" customHeight="1">
      <c r="A10" s="21"/>
      <c r="B10" s="22" t="s">
        <v>146</v>
      </c>
      <c r="C10" s="135"/>
      <c r="D10" s="136"/>
      <c r="E10" s="137"/>
      <c r="F10" s="23"/>
      <c r="G10" s="24"/>
      <c r="H10" s="128"/>
      <c r="I10" s="132"/>
      <c r="J10" s="133"/>
      <c r="K10" s="134"/>
      <c r="L10" s="23"/>
      <c r="M10" s="24"/>
      <c r="N10" s="128"/>
      <c r="O10" s="132"/>
      <c r="P10" s="128"/>
      <c r="Q10" s="129"/>
      <c r="R10" s="23"/>
      <c r="S10" s="24"/>
      <c r="T10" s="128"/>
      <c r="U10" s="132"/>
      <c r="V10" s="128"/>
      <c r="W10" s="129"/>
      <c r="X10" s="23"/>
      <c r="Y10" s="24"/>
      <c r="Z10" s="25"/>
      <c r="AA10" s="24"/>
    </row>
    <row r="11" spans="1:27" s="18" customFormat="1" ht="9" customHeight="1">
      <c r="A11" s="26">
        <v>1</v>
      </c>
      <c r="B11" s="19" t="s">
        <v>130</v>
      </c>
      <c r="C11" s="19" t="s">
        <v>130</v>
      </c>
      <c r="D11" s="19" t="s">
        <v>130</v>
      </c>
      <c r="E11" s="19" t="s">
        <v>130</v>
      </c>
      <c r="F11" s="19" t="s">
        <v>130</v>
      </c>
      <c r="G11" s="19" t="s">
        <v>130</v>
      </c>
      <c r="H11" s="125" t="s">
        <v>130</v>
      </c>
      <c r="I11" s="126"/>
      <c r="J11" s="125" t="s">
        <v>130</v>
      </c>
      <c r="K11" s="126"/>
      <c r="L11" s="19" t="s">
        <v>130</v>
      </c>
      <c r="M11" s="19" t="s">
        <v>130</v>
      </c>
      <c r="N11" s="125" t="s">
        <v>130</v>
      </c>
      <c r="O11" s="126"/>
      <c r="P11" s="125"/>
      <c r="Q11" s="126"/>
      <c r="R11" s="19" t="s">
        <v>130</v>
      </c>
      <c r="S11" s="19" t="s">
        <v>130</v>
      </c>
      <c r="T11" s="125" t="s">
        <v>130</v>
      </c>
      <c r="U11" s="126"/>
      <c r="V11" s="125"/>
      <c r="W11" s="126"/>
      <c r="X11" s="19" t="s">
        <v>130</v>
      </c>
      <c r="Y11" s="19" t="s">
        <v>130</v>
      </c>
      <c r="Z11" s="19" t="s">
        <v>130</v>
      </c>
      <c r="AA11" s="19" t="s">
        <v>130</v>
      </c>
    </row>
    <row r="12" s="18" customFormat="1" ht="6" customHeight="1"/>
    <row r="13" s="18" customFormat="1" ht="12" customHeight="1">
      <c r="A13" s="17" t="s">
        <v>155</v>
      </c>
    </row>
    <row r="14" s="18" customFormat="1" ht="4.5" customHeight="1" thickBot="1"/>
    <row r="15" spans="1:26" s="18" customFormat="1" ht="10.5">
      <c r="A15" s="138" t="s">
        <v>138</v>
      </c>
      <c r="B15" s="141" t="s">
        <v>147</v>
      </c>
      <c r="C15" s="144" t="s">
        <v>148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6"/>
    </row>
    <row r="16" spans="1:26" s="18" customFormat="1" ht="10.5">
      <c r="A16" s="139"/>
      <c r="B16" s="142"/>
      <c r="C16" s="147" t="s">
        <v>149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  <c r="O16" s="148" t="s">
        <v>150</v>
      </c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9"/>
    </row>
    <row r="17" spans="1:26" s="18" customFormat="1" ht="10.5">
      <c r="A17" s="140"/>
      <c r="B17" s="143"/>
      <c r="C17" s="147" t="s">
        <v>156</v>
      </c>
      <c r="D17" s="148"/>
      <c r="E17" s="148"/>
      <c r="F17" s="150"/>
      <c r="G17" s="151" t="s">
        <v>157</v>
      </c>
      <c r="H17" s="148"/>
      <c r="I17" s="148"/>
      <c r="J17" s="150"/>
      <c r="K17" s="151" t="s">
        <v>158</v>
      </c>
      <c r="L17" s="148"/>
      <c r="M17" s="148"/>
      <c r="N17" s="149"/>
      <c r="O17" s="147" t="s">
        <v>156</v>
      </c>
      <c r="P17" s="148"/>
      <c r="Q17" s="148"/>
      <c r="R17" s="150"/>
      <c r="S17" s="151" t="s">
        <v>157</v>
      </c>
      <c r="T17" s="148"/>
      <c r="U17" s="148"/>
      <c r="V17" s="150"/>
      <c r="W17" s="151" t="s">
        <v>158</v>
      </c>
      <c r="X17" s="148"/>
      <c r="Y17" s="148"/>
      <c r="Z17" s="149"/>
    </row>
    <row r="18" spans="1:26" s="18" customFormat="1" ht="9" customHeight="1">
      <c r="A18" s="23"/>
      <c r="B18" s="27"/>
      <c r="C18" s="28" t="s">
        <v>151</v>
      </c>
      <c r="D18" s="29" t="s">
        <v>152</v>
      </c>
      <c r="E18" s="29" t="s">
        <v>153</v>
      </c>
      <c r="F18" s="30" t="s">
        <v>154</v>
      </c>
      <c r="G18" s="28" t="s">
        <v>151</v>
      </c>
      <c r="H18" s="29" t="s">
        <v>152</v>
      </c>
      <c r="I18" s="29" t="s">
        <v>153</v>
      </c>
      <c r="J18" s="30" t="s">
        <v>154</v>
      </c>
      <c r="K18" s="28" t="s">
        <v>151</v>
      </c>
      <c r="L18" s="29" t="s">
        <v>152</v>
      </c>
      <c r="M18" s="29" t="s">
        <v>153</v>
      </c>
      <c r="N18" s="30" t="s">
        <v>154</v>
      </c>
      <c r="O18" s="28" t="s">
        <v>151</v>
      </c>
      <c r="P18" s="29" t="s">
        <v>152</v>
      </c>
      <c r="Q18" s="29" t="s">
        <v>153</v>
      </c>
      <c r="R18" s="30" t="s">
        <v>154</v>
      </c>
      <c r="S18" s="28" t="s">
        <v>151</v>
      </c>
      <c r="T18" s="29" t="s">
        <v>152</v>
      </c>
      <c r="U18" s="29" t="s">
        <v>153</v>
      </c>
      <c r="V18" s="30" t="s">
        <v>154</v>
      </c>
      <c r="W18" s="28" t="s">
        <v>151</v>
      </c>
      <c r="X18" s="29" t="s">
        <v>152</v>
      </c>
      <c r="Y18" s="29" t="s">
        <v>153</v>
      </c>
      <c r="Z18" s="30" t="s">
        <v>154</v>
      </c>
    </row>
    <row r="19" spans="1:26" s="18" customFormat="1" ht="9" customHeight="1">
      <c r="A19" s="31">
        <v>1</v>
      </c>
      <c r="B19" s="32"/>
      <c r="C19" s="19" t="s">
        <v>130</v>
      </c>
      <c r="D19" s="19" t="s">
        <v>130</v>
      </c>
      <c r="E19" s="19" t="s">
        <v>130</v>
      </c>
      <c r="F19" s="19" t="s">
        <v>130</v>
      </c>
      <c r="G19" s="19" t="s">
        <v>130</v>
      </c>
      <c r="H19" s="19" t="s">
        <v>130</v>
      </c>
      <c r="I19" s="19" t="s">
        <v>130</v>
      </c>
      <c r="J19" s="19" t="s">
        <v>130</v>
      </c>
      <c r="K19" s="19" t="s">
        <v>130</v>
      </c>
      <c r="L19" s="19" t="s">
        <v>130</v>
      </c>
      <c r="M19" s="19" t="s">
        <v>130</v>
      </c>
      <c r="N19" s="19" t="s">
        <v>130</v>
      </c>
      <c r="O19" s="19" t="s">
        <v>130</v>
      </c>
      <c r="P19" s="19" t="s">
        <v>130</v>
      </c>
      <c r="Q19" s="19" t="s">
        <v>130</v>
      </c>
      <c r="R19" s="19" t="s">
        <v>130</v>
      </c>
      <c r="S19" s="19" t="s">
        <v>130</v>
      </c>
      <c r="T19" s="19" t="s">
        <v>130</v>
      </c>
      <c r="U19" s="19" t="s">
        <v>130</v>
      </c>
      <c r="V19" s="19" t="s">
        <v>130</v>
      </c>
      <c r="W19" s="19" t="s">
        <v>130</v>
      </c>
      <c r="X19" s="19" t="s">
        <v>130</v>
      </c>
      <c r="Y19" s="19" t="s">
        <v>130</v>
      </c>
      <c r="Z19" s="19" t="s">
        <v>130</v>
      </c>
    </row>
  </sheetData>
  <sheetProtection/>
  <mergeCells count="48">
    <mergeCell ref="W1:X1"/>
    <mergeCell ref="W2:X2"/>
    <mergeCell ref="W3:X3"/>
    <mergeCell ref="A7:A9"/>
    <mergeCell ref="B7:B9"/>
    <mergeCell ref="C7:E9"/>
    <mergeCell ref="F7:K7"/>
    <mergeCell ref="L7:Q7"/>
    <mergeCell ref="R7:W7"/>
    <mergeCell ref="X7:AA7"/>
    <mergeCell ref="F8:G8"/>
    <mergeCell ref="L8:M8"/>
    <mergeCell ref="R8:S8"/>
    <mergeCell ref="X8:Y8"/>
    <mergeCell ref="Z8:AA8"/>
    <mergeCell ref="N9:O9"/>
    <mergeCell ref="C10:E10"/>
    <mergeCell ref="H8:K8"/>
    <mergeCell ref="N8:Q8"/>
    <mergeCell ref="N10:O10"/>
    <mergeCell ref="A15:A17"/>
    <mergeCell ref="B15:B17"/>
    <mergeCell ref="C15:Z15"/>
    <mergeCell ref="C16:N16"/>
    <mergeCell ref="O16:Z16"/>
    <mergeCell ref="C17:F17"/>
    <mergeCell ref="G17:J17"/>
    <mergeCell ref="K17:N17"/>
    <mergeCell ref="O17:R17"/>
    <mergeCell ref="S17:V17"/>
    <mergeCell ref="W17:Z17"/>
    <mergeCell ref="H9:I9"/>
    <mergeCell ref="H10:I10"/>
    <mergeCell ref="H11:I11"/>
    <mergeCell ref="J9:K9"/>
    <mergeCell ref="J10:K10"/>
    <mergeCell ref="J11:K11"/>
    <mergeCell ref="N11:O11"/>
    <mergeCell ref="P9:Q9"/>
    <mergeCell ref="P10:Q10"/>
    <mergeCell ref="P11:Q11"/>
    <mergeCell ref="T8:W8"/>
    <mergeCell ref="T9:U9"/>
    <mergeCell ref="T10:U10"/>
    <mergeCell ref="T11:U11"/>
    <mergeCell ref="V9:W9"/>
    <mergeCell ref="V10:W10"/>
    <mergeCell ref="V11:W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TochilkinaYuS</dc:creator>
  <cp:keywords/>
  <dc:description/>
  <cp:lastModifiedBy>Master</cp:lastModifiedBy>
  <cp:lastPrinted>2015-03-13T06:45:42Z</cp:lastPrinted>
  <dcterms:created xsi:type="dcterms:W3CDTF">2015-03-11T10:32:53Z</dcterms:created>
  <dcterms:modified xsi:type="dcterms:W3CDTF">2015-04-17T09:39:08Z</dcterms:modified>
  <cp:category/>
  <cp:version/>
  <cp:contentType/>
  <cp:contentStatus/>
</cp:coreProperties>
</file>